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Инвентарь" sheetId="1" r:id="rId1"/>
    <sheet name="Ингредиенты" sheetId="2" r:id="rId2"/>
    <sheet name="Красители" sheetId="3" r:id="rId3"/>
    <sheet name="Молочное направление" sheetId="4" r:id="rId4"/>
    <sheet name="Кондитерское направление" sheetId="5" r:id="rId5"/>
    <sheet name="Шоколадное направление" sheetId="6" r:id="rId6"/>
    <sheet name="Хлебопекарное направление" sheetId="7" r:id="rId7"/>
    <sheet name="Пищевая печать" sheetId="8" r:id="rId8"/>
  </sheets>
  <calcPr calcId="122211"/>
</workbook>
</file>

<file path=xl/sharedStrings.xml><?xml version="1.0" encoding="utf-8"?>
<sst xmlns="http://schemas.openxmlformats.org/spreadsheetml/2006/main" count="7190" uniqueCount="7190">
  <si>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</si>
  <si>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</si>
  <si>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</si>
  <si>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</si>
  <si>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</si>
  <si>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</si>
  <si>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</si>
  <si>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</si>
  <si>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</si>
  <si>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Цена "Розница интернет" - расширенный режим управления</t>
  </si>
  <si>
    <t>Инвентарь</t>
  </si>
  <si>
    <t>Бумажные формы для выпечки</t>
  </si>
  <si>
    <t>1</t>
  </si>
  <si>
    <t>RP198BLACK-B</t>
  </si>
  <si>
    <t>Форма  бумажная для кекса ( brown)</t>
  </si>
  <si>
    <t>Объем формы 900 мл. Размер: 
верх 10 см х 22 см 
низ 6,5 см х 19,8 см
высота 6,2 см
Выдерживает температуру от -40 С до + 220 С</t>
  </si>
  <si>
    <t>1 шт.</t>
  </si>
  <si>
    <t>35 руб.</t>
  </si>
  <si>
    <t>10 шт.</t>
  </si>
  <si>
    <t>300 руб.</t>
  </si>
  <si>
    <t>120 шт.</t>
  </si>
  <si>
    <t>2395 руб.</t>
  </si>
  <si>
    <t>40 шт.</t>
  </si>
  <si>
    <t>1000 руб.</t>
  </si>
  <si>
    <t>2</t>
  </si>
  <si>
    <t xml:space="preserve"> iRP165BLACK </t>
  </si>
  <si>
    <t>Форма бумажная для кекса черная 550 мл</t>
  </si>
  <si>
    <t>Объем формы 550 мл. Размер: 
верх 10 см х 18,5 см 
низ 6,5 см х 16,5 см
высота 4,5 см
Выдерживает температуру от -40 С до + 220 С</t>
  </si>
  <si>
    <t>1 шт.</t>
  </si>
  <si>
    <t>30 руб.</t>
  </si>
  <si>
    <t>10 шт.</t>
  </si>
  <si>
    <t>250 руб.</t>
  </si>
  <si>
    <t>120 шт.</t>
  </si>
  <si>
    <t>1800 руб.</t>
  </si>
  <si>
    <t>40 шт.</t>
  </si>
  <si>
    <t>800 руб.</t>
  </si>
  <si>
    <t>Коврики/формы/палетки</t>
  </si>
  <si>
    <t>3</t>
  </si>
  <si>
    <t>12435-1</t>
  </si>
  <si>
    <t>Форма для шоколада Шары 5 дизайнов, диаметр 7 см</t>
  </si>
  <si>
    <t>Valrhona</t>
  </si>
  <si>
    <t>1 шт.</t>
  </si>
  <si>
    <t>1000 руб.</t>
  </si>
  <si>
    <t>2 шт.</t>
  </si>
  <si>
    <t>1910 руб.</t>
  </si>
  <si>
    <t>4</t>
  </si>
  <si>
    <t>18708-1</t>
  </si>
  <si>
    <t>Форма Мини шары диаметр 2 см, 5 дизайнов на пластине</t>
  </si>
  <si>
    <t>1 шт.</t>
  </si>
  <si>
    <t>890 руб.</t>
  </si>
  <si>
    <t>1 шт.</t>
  </si>
  <si>
    <t>940 руб.</t>
  </si>
  <si>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</si>
  <si>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</si>
  <si>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</si>
  <si>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</si>
  <si>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</si>
  <si>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</si>
  <si>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</si>
  <si>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</si>
  <si>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</si>
  <si>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</si>
  <si>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Ингредиенты</t>
  </si>
  <si>
    <t>Желирующие агенты</t>
  </si>
  <si>
    <t>Желатин</t>
  </si>
  <si>
    <t>5</t>
  </si>
  <si>
    <t>Желатин пищевой говяжий 200 блюм</t>
  </si>
  <si>
    <t>Можелит</t>
  </si>
  <si>
    <t>1 кг.</t>
  </si>
  <si>
    <t>990 руб.</t>
  </si>
  <si>
    <t>10 кг.</t>
  </si>
  <si>
    <t>9855 руб.</t>
  </si>
  <si>
    <t>0,15 кг.</t>
  </si>
  <si>
    <t>215 руб.</t>
  </si>
  <si>
    <t>25 кг.</t>
  </si>
  <si>
    <t>23460 руб.</t>
  </si>
  <si>
    <t>5 кг.</t>
  </si>
  <si>
    <t>5365 руб.</t>
  </si>
  <si>
    <t>0,5 кг.</t>
  </si>
  <si>
    <t>565 руб.</t>
  </si>
  <si>
    <t>Пектин</t>
  </si>
  <si>
    <t>Tartine/Тартин</t>
  </si>
  <si>
    <t>6</t>
  </si>
  <si>
    <t>Т02211</t>
  </si>
  <si>
    <t>Пектин NH (термообратимый)</t>
  </si>
  <si>
    <t>Тартин/Tartine</t>
  </si>
  <si>
    <t>сыпучий порошок</t>
  </si>
  <si>
    <t>0,05 кг.</t>
  </si>
  <si>
    <t>460 руб.</t>
  </si>
  <si>
    <t>1 кг.</t>
  </si>
  <si>
    <t>3370 руб.</t>
  </si>
  <si>
    <t>10 кг.</t>
  </si>
  <si>
    <t>29900 руб.</t>
  </si>
  <si>
    <t>0,1 кг.</t>
  </si>
  <si>
    <t>630 руб.</t>
  </si>
  <si>
    <t>5 кг.</t>
  </si>
  <si>
    <t>15300 руб.</t>
  </si>
  <si>
    <t>0,05 кг.</t>
  </si>
  <si>
    <t>330 руб.</t>
  </si>
  <si>
    <t>0,5 кг.</t>
  </si>
  <si>
    <t>1950 руб.</t>
  </si>
  <si>
    <t>25 кг.</t>
  </si>
  <si>
    <t>69105 руб.</t>
  </si>
  <si>
    <t>Кеамса/Ceamsa</t>
  </si>
  <si>
    <t>7</t>
  </si>
  <si>
    <t>Пектин цитрусовый Ceampectin EX 4433</t>
  </si>
  <si>
    <t>Ceamsa</t>
  </si>
  <si>
    <t>25 кг.</t>
  </si>
  <si>
    <t>50365 руб.</t>
  </si>
  <si>
    <t>8</t>
  </si>
  <si>
    <t>Пектин цитрусовый Ceampectin LMA 6310</t>
  </si>
  <si>
    <t>Ceamsa</t>
  </si>
  <si>
    <t>25 кг.</t>
  </si>
  <si>
    <t>52250 руб.</t>
  </si>
  <si>
    <t>9</t>
  </si>
  <si>
    <t xml:space="preserve">Пектин цитрусовый Ceampectin SS-4510 </t>
  </si>
  <si>
    <t>Ceamsa</t>
  </si>
  <si>
    <t>25 кг.</t>
  </si>
  <si>
    <t>67070 руб.</t>
  </si>
  <si>
    <t>10</t>
  </si>
  <si>
    <t>Пектин цитрусовый Ceampectin VIS 4040</t>
  </si>
  <si>
    <t>Ceamsa</t>
  </si>
  <si>
    <t>25 кг.</t>
  </si>
  <si>
    <t>59825 руб.</t>
  </si>
  <si>
    <t>11</t>
  </si>
  <si>
    <t>20000895</t>
  </si>
  <si>
    <t>Пектин цитрусовый Ceampektin 4420</t>
  </si>
  <si>
    <t>Цвет пектина светлобежевый порошок без запаха и вкуса.Консистенция: сыпучий порошок.</t>
  </si>
  <si>
    <t>25 кг.</t>
  </si>
  <si>
    <t>55050 руб.</t>
  </si>
  <si>
    <t>12</t>
  </si>
  <si>
    <t>Пектин цитрусовый для зефира</t>
  </si>
  <si>
    <t>Ceamsa</t>
  </si>
  <si>
    <t>1 кг.</t>
  </si>
  <si>
    <t>3450 руб.</t>
  </si>
  <si>
    <t>0,1 кг.</t>
  </si>
  <si>
    <t>440 руб.</t>
  </si>
  <si>
    <t>5 кг.</t>
  </si>
  <si>
    <t>16480 руб.</t>
  </si>
  <si>
    <t>0,5 кг.</t>
  </si>
  <si>
    <t>1875 руб.</t>
  </si>
  <si>
    <t>13</t>
  </si>
  <si>
    <t>20000894</t>
  </si>
  <si>
    <t>Пектин цитрусовый для мармелада</t>
  </si>
  <si>
    <t>Ceamsa</t>
  </si>
  <si>
    <t>1 кг.</t>
  </si>
  <si>
    <t>3450 руб.</t>
  </si>
  <si>
    <t>0,1 кг.</t>
  </si>
  <si>
    <t>440 руб.</t>
  </si>
  <si>
    <t>5 кг.</t>
  </si>
  <si>
    <t>16480 руб.</t>
  </si>
  <si>
    <t>0,5 кг.</t>
  </si>
  <si>
    <t>1875 руб.</t>
  </si>
  <si>
    <t>14</t>
  </si>
  <si>
    <t>Пектин цитрусовый универсальный</t>
  </si>
  <si>
    <t>Ceamsa</t>
  </si>
  <si>
    <t>1 кг.</t>
  </si>
  <si>
    <t>3400 руб.</t>
  </si>
  <si>
    <t>0,1 кг.</t>
  </si>
  <si>
    <t>435 руб.</t>
  </si>
  <si>
    <t>5 кг.</t>
  </si>
  <si>
    <t>16250 руб.</t>
  </si>
  <si>
    <t>0,5 кг.</t>
  </si>
  <si>
    <t>1850 руб.</t>
  </si>
  <si>
    <t>Крахмалы</t>
  </si>
  <si>
    <t>15</t>
  </si>
  <si>
    <t>Крахмал рисовый Remy DR</t>
  </si>
  <si>
    <t>Beneo-Remy</t>
  </si>
  <si>
    <t>1 кг.</t>
  </si>
  <si>
    <t>990 руб.</t>
  </si>
  <si>
    <t>10 кг.</t>
  </si>
  <si>
    <t>7825 руб.</t>
  </si>
  <si>
    <t>25 кг.</t>
  </si>
  <si>
    <t>17905 руб.</t>
  </si>
  <si>
    <t>5 кг.</t>
  </si>
  <si>
    <t>4195 руб.</t>
  </si>
  <si>
    <t>Загуститель на основе крахмала</t>
  </si>
  <si>
    <t>16</t>
  </si>
  <si>
    <t xml:space="preserve">12420062 </t>
  </si>
  <si>
    <t>Стабилизатор для начинок</t>
  </si>
  <si>
    <t>Тартин/Tartine</t>
  </si>
  <si>
    <t>Мелкодисперсный порошок белого цвета,хорошо растворим в воде.</t>
  </si>
  <si>
    <t>1 кг.</t>
  </si>
  <si>
    <t>555 руб.</t>
  </si>
  <si>
    <t>10 кг.</t>
  </si>
  <si>
    <t>4190 руб.</t>
  </si>
  <si>
    <t>20 кг.</t>
  </si>
  <si>
    <t>7980 руб.</t>
  </si>
  <si>
    <t>5 кг.</t>
  </si>
  <si>
    <t>2260 руб.</t>
  </si>
  <si>
    <t>Камеди</t>
  </si>
  <si>
    <t>17</t>
  </si>
  <si>
    <t>Гуаровая камедь 200 МЕШ</t>
  </si>
  <si>
    <t>Rama Gum Industries Limited</t>
  </si>
  <si>
    <t>1 кг.</t>
  </si>
  <si>
    <t>955 руб.</t>
  </si>
  <si>
    <t>0,1 кг.</t>
  </si>
  <si>
    <t>310 руб.</t>
  </si>
  <si>
    <t>0,25 кг.</t>
  </si>
  <si>
    <t>390 руб.</t>
  </si>
  <si>
    <t>0,5 кг.</t>
  </si>
  <si>
    <t>560 руб.</t>
  </si>
  <si>
    <t>18</t>
  </si>
  <si>
    <t>Ксантановая камедь 200 МЕШ</t>
  </si>
  <si>
    <t>Синьцзян Мейхуа Амино Эйсид Ко</t>
  </si>
  <si>
    <t>1 кг.</t>
  </si>
  <si>
    <t>2900 руб.</t>
  </si>
  <si>
    <t>0,1 кг.</t>
  </si>
  <si>
    <t>520 руб.</t>
  </si>
  <si>
    <t>0,25 кг.</t>
  </si>
  <si>
    <t>1190 руб.</t>
  </si>
  <si>
    <t>0,5 кг.</t>
  </si>
  <si>
    <t>1850 руб.</t>
  </si>
  <si>
    <t>Сахарозаменители</t>
  </si>
  <si>
    <t>Изомальт</t>
  </si>
  <si>
    <t>19</t>
  </si>
  <si>
    <t xml:space="preserve">12360287 </t>
  </si>
  <si>
    <t>Изомальт ST M гранулированный</t>
  </si>
  <si>
    <t>Beneo-Palatinit/Бенео Палатинит</t>
  </si>
  <si>
    <t>Белые гранулы 0,3-0,5 мм. Не содержит аллергены. Сладость 45- 60% от сахарозы,калорийность 50% от калорийности сахара. Гликемический индекс 2.</t>
  </si>
  <si>
    <t>25 кг.</t>
  </si>
  <si>
    <t>19300 руб.</t>
  </si>
  <si>
    <t>1 кг.</t>
  </si>
  <si>
    <t>1200 руб.</t>
  </si>
  <si>
    <t>10 кг.</t>
  </si>
  <si>
    <t>8800 руб.</t>
  </si>
  <si>
    <t>5 кг.</t>
  </si>
  <si>
    <t>4900 руб.</t>
  </si>
  <si>
    <t>20</t>
  </si>
  <si>
    <t>12360288</t>
  </si>
  <si>
    <t>Изомальт ST PF порошковый</t>
  </si>
  <si>
    <t>Beneo-Palatinit/Бенео Палатинит</t>
  </si>
  <si>
    <t>Порошок белого цвета. Не содержит аллергены. Сладость 45- 60% от сахарозы,калорийность 50% от калорийности сахара. Гликемический индекс 2.</t>
  </si>
  <si>
    <t>1 кг.</t>
  </si>
  <si>
    <t>1300 руб.</t>
  </si>
  <si>
    <t>10 кг.</t>
  </si>
  <si>
    <t>10300 руб.</t>
  </si>
  <si>
    <t>20 кг.</t>
  </si>
  <si>
    <t>17600 руб.</t>
  </si>
  <si>
    <t>5 кг.</t>
  </si>
  <si>
    <t>5500 руб.</t>
  </si>
  <si>
    <t>21</t>
  </si>
  <si>
    <t>250820221</t>
  </si>
  <si>
    <t>Изомальт мелкокристаллический GS с повышенной растворимостью</t>
  </si>
  <si>
    <t>Beneo-Palatinit/Бенео Палатинит</t>
  </si>
  <si>
    <t>мелкокристаллический порошок белого цвета,без запаха,вкус сладкий.Коэффициент сладости  0,33-0,6%</t>
  </si>
  <si>
    <t>1 кг.</t>
  </si>
  <si>
    <t>1200 руб.</t>
  </si>
  <si>
    <t>25 кг.</t>
  </si>
  <si>
    <t>21000 руб.</t>
  </si>
  <si>
    <t>5 кг.</t>
  </si>
  <si>
    <t>4900 руб.</t>
  </si>
  <si>
    <t>0,5 кг.</t>
  </si>
  <si>
    <t>780 руб.</t>
  </si>
  <si>
    <t>Альбумин( сухой яичный белок)</t>
  </si>
  <si>
    <t>22</t>
  </si>
  <si>
    <t>2205</t>
  </si>
  <si>
    <t>Белок яичный сухой обессахаренный (повышенной взбиваемости) Роскар</t>
  </si>
  <si>
    <t>Роскар</t>
  </si>
  <si>
    <t>1 кг.</t>
  </si>
  <si>
    <t>1410 руб.</t>
  </si>
  <si>
    <t>0,1 кг.</t>
  </si>
  <si>
    <t>245 руб.</t>
  </si>
  <si>
    <t>0,25 кг.</t>
  </si>
  <si>
    <t>430 руб.</t>
  </si>
  <si>
    <t>4 кг.</t>
  </si>
  <si>
    <t>5360 руб.</t>
  </si>
  <si>
    <t>0,5 кг.</t>
  </si>
  <si>
    <t>775 руб.</t>
  </si>
  <si>
    <t>Пищевые волокна</t>
  </si>
  <si>
    <t>23</t>
  </si>
  <si>
    <t>20011159</t>
  </si>
  <si>
    <t>Волокно растительное цитрусовое Ceamfibre 7000F</t>
  </si>
  <si>
    <t>Ceamsa</t>
  </si>
  <si>
    <t>стабилизирующие, структурообразующие, эмульгирующие свойства;свойства бифильности - работает как влагосвязывающий, в гидратации 1:10-15, и как жироэмульгирующий агент -  образуя стабильные эмульсии в соотношении клетчатка : масло : вода как 1:5:5;идеально комбинируется в рецептурах с другими функциональными добавками и усиливает их действие;увеличивает выход продуктапродлевает срок годности, а также сохраняет свежесть и микробиологическую устойчивость продуктов за счет снижения показателя активности воды;инертны к любым рецептурным ингредиентам продукта;обладают антиоксидантным действием;применение волокон в рецептурах позволяет декларировать их как продукцию лечебно-профилактического назначения;не имеет классификационного номера в международной системе кодификации добавок «Е» и относится к пищевому сырью</t>
  </si>
  <si>
    <t>0,1 кг.</t>
  </si>
  <si>
    <t>295 руб.</t>
  </si>
  <si>
    <t>1 кг.</t>
  </si>
  <si>
    <t>1295 руб.</t>
  </si>
  <si>
    <t>5 кг.</t>
  </si>
  <si>
    <t>5985 руб.</t>
  </si>
  <si>
    <t>0,5 кг.</t>
  </si>
  <si>
    <t>770 руб.</t>
  </si>
  <si>
    <t>24</t>
  </si>
  <si>
    <t>1702088R</t>
  </si>
  <si>
    <t>Инулин GR</t>
  </si>
  <si>
    <t>Beneo-Orafti</t>
  </si>
  <si>
    <t>Содержание волокон 88%,уровень сладости 30% от сладости сахара.</t>
  </si>
  <si>
    <t>1 кг.</t>
  </si>
  <si>
    <t>1290 руб.</t>
  </si>
  <si>
    <t>25 кг.</t>
  </si>
  <si>
    <t>23915 руб.</t>
  </si>
  <si>
    <t>0,3 кг.</t>
  </si>
  <si>
    <t>790 руб.</t>
  </si>
  <si>
    <t>5 кг.</t>
  </si>
  <si>
    <t>5245 руб.</t>
  </si>
  <si>
    <t>Специи</t>
  </si>
  <si>
    <t>25</t>
  </si>
  <si>
    <t>Смесь пряностей для пряников и выпечки " Сухие духи"</t>
  </si>
  <si>
    <t>Роспланта</t>
  </si>
  <si>
    <t>0,1 кг.</t>
  </si>
  <si>
    <t>210 руб.</t>
  </si>
  <si>
    <t>0,3 кг.</t>
  </si>
  <si>
    <t>520 руб.</t>
  </si>
  <si>
    <t>0,05 кг.</t>
  </si>
  <si>
    <t>135 руб.</t>
  </si>
  <si>
    <t>Сахарная пудра</t>
  </si>
  <si>
    <t>26</t>
  </si>
  <si>
    <t>Сахарная пудра тонкого помола</t>
  </si>
  <si>
    <t>белый порошок</t>
  </si>
  <si>
    <t>1 кг.</t>
  </si>
  <si>
    <t>180 руб.</t>
  </si>
  <si>
    <t>5 кг.</t>
  </si>
  <si>
    <t>735 руб.</t>
  </si>
  <si>
    <t>Разрыхлитель</t>
  </si>
  <si>
    <t>27</t>
  </si>
  <si>
    <t>4104623</t>
  </si>
  <si>
    <t>Пекарский порошок Бейкин Супер</t>
  </si>
  <si>
    <t>1 кг.</t>
  </si>
  <si>
    <t>5850 руб.</t>
  </si>
  <si>
    <t>15 кг.</t>
  </si>
  <si>
    <t>5850 руб.</t>
  </si>
  <si>
    <t>0,2 кг.</t>
  </si>
  <si>
    <t>5850 руб.</t>
  </si>
  <si>
    <t>3 кг.</t>
  </si>
  <si>
    <t>5850 руб.</t>
  </si>
  <si>
    <t>N</t>
  </si>
  <si>
    <t>Артикул</t>
  </si>
  <si>
    <t>Фото</t>
  </si>
  <si>
    <t>Наименование элемента</t>
  </si>
  <si>
    <t>Бренд</t>
  </si>
  <si>
    <t>Свойства</t>
  </si>
  <si>
    <t>Единицы</t>
  </si>
  <si>
    <t>Цена</t>
  </si>
  <si>
    <t>Кол-во</t>
  </si>
  <si>
    <t>Сумма</t>
  </si>
  <si>
    <t>Красители</t>
  </si>
  <si>
    <t>Кандурин®/Candurin®</t>
  </si>
  <si>
    <t>Золотистые</t>
  </si>
  <si>
    <t>28</t>
  </si>
  <si>
    <t>FC409</t>
  </si>
  <si>
    <t>Кандурин® Золотое Сияние/Candurin® Gold Sheen</t>
  </si>
  <si>
    <t>Пигмент пищевой  сухой ,золотой шелковый блеск . Размер частиц 5 – 25 микрон</t>
  </si>
  <si>
    <t>1 кг.</t>
  </si>
  <si>
    <t>160 руб.</t>
  </si>
  <si>
    <t>0,01 кг.</t>
  </si>
  <si>
    <t>260 руб.</t>
  </si>
  <si>
    <t>15 кг.</t>
  </si>
  <si>
    <t>160 руб.</t>
  </si>
  <si>
    <t>0,005 кг.</t>
  </si>
  <si>
    <t>160 руб.</t>
  </si>
  <si>
    <t>0,05 кг.</t>
  </si>
  <si>
    <t>1090 руб.</t>
  </si>
  <si>
    <t>29</t>
  </si>
  <si>
    <t>FC412</t>
  </si>
  <si>
    <t>Кандурин® Золотой Сверкающий /Candurin® Gold Sparkle</t>
  </si>
  <si>
    <t>Пигмент пищевой  сухой,цвет-Золотой крупнозернистый эффектразмер частиц: 10.0-60.0 микрон.</t>
  </si>
  <si>
    <t>0,005 кг.</t>
  </si>
  <si>
    <t>215 руб.</t>
  </si>
  <si>
    <t>0,01 кг.</t>
  </si>
  <si>
    <t>360 руб.</t>
  </si>
  <si>
    <t>0,05 кг.</t>
  </si>
  <si>
    <t>1535 руб.</t>
  </si>
  <si>
    <t>1 кг.</t>
  </si>
  <si>
    <t>12980 руб.</t>
  </si>
  <si>
    <t>1 кг.</t>
  </si>
  <si>
    <t>215 руб.</t>
  </si>
  <si>
    <t>15 кг.</t>
  </si>
  <si>
    <t>159020 руб.</t>
  </si>
  <si>
    <t>Интерферентные</t>
  </si>
  <si>
    <t>30</t>
  </si>
  <si>
    <t>FC407</t>
  </si>
  <si>
    <t>Кандурин® Голубой Мерцающий/Candurin® Blue Shimmer</t>
  </si>
  <si>
    <t>Пигмент пищевой сухой,цвет-синее интерферентное сияние.Размер частиц 10 - 60 микрон</t>
  </si>
  <si>
    <t>1 кг.</t>
  </si>
  <si>
    <t>180 руб.</t>
  </si>
  <si>
    <t>0,01 кг.</t>
  </si>
  <si>
    <t>295 руб.</t>
  </si>
  <si>
    <t>15 кг.</t>
  </si>
  <si>
    <t>126615 руб.</t>
  </si>
  <si>
    <t>0,005 кг.</t>
  </si>
  <si>
    <t>180 руб.</t>
  </si>
  <si>
    <t>0,05 кг.</t>
  </si>
  <si>
    <t>1250 руб.</t>
  </si>
  <si>
    <t>31</t>
  </si>
  <si>
    <t>FC408</t>
  </si>
  <si>
    <t>Кандурин® Зелёный Мерцающий /Candurin® Green Shimmer</t>
  </si>
  <si>
    <t>Пигмент пищевой сухой,цвет зеленый- мерцающий.Размер частиц 10,0-60,0 микрон</t>
  </si>
  <si>
    <t>15 кг.</t>
  </si>
  <si>
    <t>126615 руб.</t>
  </si>
  <si>
    <t>1 кг.</t>
  </si>
  <si>
    <t>180 руб.</t>
  </si>
  <si>
    <t>0,01 кг.</t>
  </si>
  <si>
    <t>295 руб.</t>
  </si>
  <si>
    <t>0,005 кг.</t>
  </si>
  <si>
    <t>180 руб.</t>
  </si>
  <si>
    <t>0,05 кг.</t>
  </si>
  <si>
    <t>1250 руб.</t>
  </si>
  <si>
    <t>32</t>
  </si>
  <si>
    <t>FC405</t>
  </si>
  <si>
    <t>Кандурин® Золотой  Мерцающий /Candurin® Gold Shimmer</t>
  </si>
  <si>
    <t>Пигмент пищевой  сухой.Цвет-Золотое Интерферентное сияние . Размер частиц 10 - 60 микрон</t>
  </si>
  <si>
    <t>1 кг.</t>
  </si>
  <si>
    <t>180 руб.</t>
  </si>
  <si>
    <t>0,01 кг.</t>
  </si>
  <si>
    <t>295 руб.</t>
  </si>
  <si>
    <t>15 кг.</t>
  </si>
  <si>
    <t>180 руб.</t>
  </si>
  <si>
    <t>0,005 кг.</t>
  </si>
  <si>
    <t>180 руб.</t>
  </si>
  <si>
    <t>0,05 кг.</t>
  </si>
  <si>
    <t>1250 руб.</t>
  </si>
  <si>
    <t>33</t>
  </si>
  <si>
    <t>FC406</t>
  </si>
  <si>
    <t>Кандурин® Красный Мерцающий/ Candurin® Red Shimmer</t>
  </si>
  <si>
    <t>Пигмент пищевой  сухой,цвет красный -мерцающий.Размер частиц 10 - 60 микрон</t>
  </si>
  <si>
    <t>1 кг.</t>
  </si>
  <si>
    <t>180 руб.</t>
  </si>
  <si>
    <t>0,01 кг.</t>
  </si>
  <si>
    <t>295 руб.</t>
  </si>
  <si>
    <t>15 кг.</t>
  </si>
  <si>
    <t>126615 руб.</t>
  </si>
  <si>
    <t>0,005 кг.</t>
  </si>
  <si>
    <t>180 руб.</t>
  </si>
  <si>
    <t>0,05 кг.</t>
  </si>
  <si>
    <t>1250 руб.</t>
  </si>
  <si>
    <t>На оксидах</t>
  </si>
  <si>
    <t>34</t>
  </si>
  <si>
    <t>FC415</t>
  </si>
  <si>
    <t>Кандурин® Коричнево-янтарный/Candurin® Brown Amber</t>
  </si>
  <si>
    <t>Пигмент пищевой сухой,цвет-синее интерферентное сияние.Размер частиц 10,0-60,0 микрон</t>
  </si>
  <si>
    <t>1 кг.</t>
  </si>
  <si>
    <t>205 руб.</t>
  </si>
  <si>
    <t>0,01 кг.</t>
  </si>
  <si>
    <t>340 руб.</t>
  </si>
  <si>
    <t>15 кг.</t>
  </si>
  <si>
    <t>148890 руб.</t>
  </si>
  <si>
    <t>0,005 кг.</t>
  </si>
  <si>
    <t>205 руб.</t>
  </si>
  <si>
    <t>0,05 кг.</t>
  </si>
  <si>
    <t>1445 руб.</t>
  </si>
  <si>
    <t>35</t>
  </si>
  <si>
    <t>FC413</t>
  </si>
  <si>
    <t>Кандурин® Красно-янтарный /Candurin® Red Amber</t>
  </si>
  <si>
    <t>Пигмент пищевой сухой.Цвет-Бриллиантовое красно-янтарное сияние Размер частиц 10 - 60 микрон</t>
  </si>
  <si>
    <t>1 кг.</t>
  </si>
  <si>
    <t>205 руб.</t>
  </si>
  <si>
    <t>0,01 кг.</t>
  </si>
  <si>
    <t>340 руб.</t>
  </si>
  <si>
    <t>15 кг.</t>
  </si>
  <si>
    <t>148890 руб.</t>
  </si>
  <si>
    <t>0,005 кг.</t>
  </si>
  <si>
    <t>205 руб.</t>
  </si>
  <si>
    <t>0,05 кг.</t>
  </si>
  <si>
    <t>1445 руб.</t>
  </si>
  <si>
    <t>36</t>
  </si>
  <si>
    <t>FC414</t>
  </si>
  <si>
    <t>Кандурин® Оранжево-янтарный /Candurin® Orange Amber</t>
  </si>
  <si>
    <t>Пигмент пищевой сухой,цвет- оранжево-янтарный.Размер частиц 10 - 60 микрон</t>
  </si>
  <si>
    <t>1 кг.</t>
  </si>
  <si>
    <t>205 руб.</t>
  </si>
  <si>
    <t>0,01 кг.</t>
  </si>
  <si>
    <t>340 руб.</t>
  </si>
  <si>
    <t>15 кг.</t>
  </si>
  <si>
    <t>205 руб.</t>
  </si>
  <si>
    <t>0,005 кг.</t>
  </si>
  <si>
    <t>205 руб.</t>
  </si>
  <si>
    <t>0,05 кг.</t>
  </si>
  <si>
    <t>1445 руб.</t>
  </si>
  <si>
    <t>Серебристые</t>
  </si>
  <si>
    <t>37</t>
  </si>
  <si>
    <t>FC404</t>
  </si>
  <si>
    <t>Кандурин® Сверкание Серебра  /Candurin® Silver Sparkle</t>
  </si>
  <si>
    <t>Пигмент сухой. Цвет-Серебряный крупнозернистый эффект. Размер частиц 10 - 150 микрон</t>
  </si>
  <si>
    <t>1 кг.</t>
  </si>
  <si>
    <t>170 руб.</t>
  </si>
  <si>
    <t>0,01 кг.</t>
  </si>
  <si>
    <t>280 руб.</t>
  </si>
  <si>
    <t>15 кг.</t>
  </si>
  <si>
    <t>120015 руб.</t>
  </si>
  <si>
    <t>1 кг.</t>
  </si>
  <si>
    <t>10225 руб.</t>
  </si>
  <si>
    <t>0,05 кг.</t>
  </si>
  <si>
    <t>1175 руб.</t>
  </si>
  <si>
    <t>0,005 кг.</t>
  </si>
  <si>
    <t>170 руб.</t>
  </si>
  <si>
    <t>38</t>
  </si>
  <si>
    <t>FC402</t>
  </si>
  <si>
    <t>Кандурин® Серебряное Сияние/Candurin® Silver Sheen</t>
  </si>
  <si>
    <t>Пигмент сухой,серебряный шелковистый блеск . Размер частиц 5 - 25 микрон</t>
  </si>
  <si>
    <t>0,01 кг.</t>
  </si>
  <si>
    <t>230 руб.</t>
  </si>
  <si>
    <t>0,005 кг.</t>
  </si>
  <si>
    <t>140 руб.</t>
  </si>
  <si>
    <t>15 кг.</t>
  </si>
  <si>
    <t>140 руб.</t>
  </si>
  <si>
    <t>1 кг.</t>
  </si>
  <si>
    <t>140 руб.</t>
  </si>
  <si>
    <t>0,05 кг.</t>
  </si>
  <si>
    <t>935 руб.</t>
  </si>
  <si>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</si>
  <si>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</si>
  <si>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</si>
  <si>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</si>
  <si>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</si>
  <si>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</si>
  <si>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</si>
  <si>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</si>
  <si>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</si>
  <si>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</si>
  <si>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Молочное направление</t>
  </si>
  <si>
    <t>Маргарин</t>
  </si>
  <si>
    <t>Пуратос/Puratos</t>
  </si>
  <si>
    <t>39</t>
  </si>
  <si>
    <t>4002629</t>
  </si>
  <si>
    <t>Маргарин Алоха Пастри 82%</t>
  </si>
  <si>
    <t>10 кг.</t>
  </si>
  <si>
    <t>4480 руб.</t>
  </si>
  <si>
    <t>40</t>
  </si>
  <si>
    <t>4015708</t>
  </si>
  <si>
    <t xml:space="preserve">Миметик 20  </t>
  </si>
  <si>
    <t>10 кг.</t>
  </si>
  <si>
    <t>5520 руб.</t>
  </si>
  <si>
    <t>41</t>
  </si>
  <si>
    <t>4102689</t>
  </si>
  <si>
    <t>Миметик 32</t>
  </si>
  <si>
    <t>10 кг.</t>
  </si>
  <si>
    <t>4740 руб.</t>
  </si>
  <si>
    <t>Масло сливочное</t>
  </si>
  <si>
    <t>Tonadita (Elcor S.A.)</t>
  </si>
  <si>
    <t>42</t>
  </si>
  <si>
    <t>Масло монолит 25 кг 82 % Тонадита / Tonadita</t>
  </si>
  <si>
    <t>Tonadita</t>
  </si>
  <si>
    <t>Внешний вид: Твердая, пластичная консистенция при 20&amp;nbsp;ºC.Текстура: Гладкая и однородная.Температура плавления: 30&amp;nbsp;°С.</t>
  </si>
  <si>
    <t>25 кг.</t>
  </si>
  <si>
    <t>от 1 шт. до 2 шт. 18500  руб.
от 3 шт. до 9 шт. 18250  руб.
от 10 шт. 18000  руб.</t>
  </si>
  <si>
    <t>Conaprole</t>
  </si>
  <si>
    <t>43</t>
  </si>
  <si>
    <t>Масло монолит 25&amp;nbsp;кг 82&amp;nbsp;% Конапроли / Conaprole</t>
  </si>
  <si>
    <t>Конапроли / Conaprole</t>
  </si>
  <si>
    <t>25 кг.</t>
  </si>
  <si>
    <t>La Serenisima (Mastellone Hnos. S.A.)</t>
  </si>
  <si>
    <t>44</t>
  </si>
  <si>
    <t>Масло монолит 25 кг 82 % Ла Серенисима / La Serenísima</t>
  </si>
  <si>
    <t>La Serenísima</t>
  </si>
  <si>
    <t>25 кг.</t>
  </si>
  <si>
    <t>1 000 кг.</t>
  </si>
  <si>
    <t>Melincue (Remotti S.A.)</t>
  </si>
  <si>
    <t>45</t>
  </si>
  <si>
    <t>Масло монолит 25 кг 82 % Мелинкуэ / Melincue</t>
  </si>
  <si>
    <t>Melincue</t>
  </si>
  <si>
    <t>25 кг.</t>
  </si>
  <si>
    <t>900 кг.</t>
  </si>
  <si>
    <t>Williner</t>
  </si>
  <si>
    <t>46</t>
  </si>
  <si>
    <t>Масло сливочное несоленое Williner 82% блок 25 кг</t>
  </si>
  <si>
    <t>Williner</t>
  </si>
  <si>
    <t>25 кг.</t>
  </si>
  <si>
    <t>15500 руб.</t>
  </si>
  <si>
    <t>1 000 кг.</t>
  </si>
  <si>
    <t>610000 руб.</t>
  </si>
  <si>
    <t>Zealandia</t>
  </si>
  <si>
    <t>Kitchen</t>
  </si>
  <si>
    <t>47</t>
  </si>
  <si>
    <t>Масло «Традиционное» монолит 20 кг 82,5% Зеландия Китчен / Zealandia Kitchen</t>
  </si>
  <si>
    <t>Зеландия / Zealandia</t>
  </si>
  <si>
    <t>Соответствует ГОСТ 32261-2013.</t>
  </si>
  <si>
    <t>20 кг.</t>
  </si>
  <si>
    <t>от 1 шт. до 2 шт. 14300  руб.
от 3 шт. до 9 шт. 14100  руб.
от 10 шт. 13900  руб.</t>
  </si>
  <si>
    <t>48</t>
  </si>
  <si>
    <t>Масло «Традиционное» монолит 5 кг 82,5% Зеландия Китчен / Zealandia Kitchen</t>
  </si>
  <si>
    <t>Зеландия / Zealandia</t>
  </si>
  <si>
    <t>Соответствует ГОСТ 32261-2013.</t>
  </si>
  <si>
    <t>5 кг.</t>
  </si>
  <si>
    <t>49</t>
  </si>
  <si>
    <t>Масло пачка 500 г 83 % Зеландия Китчен / Zealandia Kitchen</t>
  </si>
  <si>
    <t>Зеландия / Zealandia</t>
  </si>
  <si>
    <t>0,5 кг.</t>
  </si>
  <si>
    <t>390 руб.</t>
  </si>
  <si>
    <t>5 кг.</t>
  </si>
  <si>
    <t>от 1 шт. до 4 шт. 3625  руб.
от 5 шт. до 39 шт. 3575  руб.
от 40 шт. 3525  руб.</t>
  </si>
  <si>
    <t>Professional</t>
  </si>
  <si>
    <t>50</t>
  </si>
  <si>
    <t>Масло «Традиционное» монолит 20 кг 82,5 % Зеландия Профессиональное / Zealandia Professional</t>
  </si>
  <si>
    <t>Зеландия / Zealandia</t>
  </si>
  <si>
    <t>Соответствует ГОСТ 32261-2013.</t>
  </si>
  <si>
    <t>20 кг.</t>
  </si>
  <si>
    <t>от 1 шт. до 2 шт. 15800  руб.
от 3 шт. до 9 шт. 15600  руб.
от 10 шт. 15400  руб.</t>
  </si>
  <si>
    <t>51</t>
  </si>
  <si>
    <t>Масло «Традиционное» монолит 5 кг 82,5 % Зеландия Профессиональное / Zealandia Professional</t>
  </si>
  <si>
    <t>Зеландия / Zealandia</t>
  </si>
  <si>
    <t>Соответствует ГОСТ 32261-2013.</t>
  </si>
  <si>
    <t>5 кг.</t>
  </si>
  <si>
    <t>от 1 шт. до 4 шт. 4000  руб.
от 5 шт. до 39 шт. 3950  руб.
от 40 шт. 3900  руб.</t>
  </si>
  <si>
    <t>52</t>
  </si>
  <si>
    <t>Масло листовое 5 х 2 кг 82,5 % Зеландия Профессиональное / Zealandia Professional</t>
  </si>
  <si>
    <t>Зеландия / Zealandia</t>
  </si>
  <si>
    <t>Размеры листа: 285&amp;nbsp;х&amp;nbsp;20&amp;nbsp;х&amp;nbsp;380&amp;nbsp;мм.Внешний вид: Твердая, пластичная консистенция при 20&amp;nbsp;ºC.Текстура: Гладкая и однородная.Температура плавления: 33&amp;nbsp;°С.</t>
  </si>
  <si>
    <t>10 кг.</t>
  </si>
  <si>
    <t>от 1 шт. до 2 шт. 7650  руб.
от 3 шт. до 19 шт. 7550  руб.
от 20 шт. 7450  руб.</t>
  </si>
  <si>
    <t>53</t>
  </si>
  <si>
    <t>Масло пачка 150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</si>
  <si>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</si>
  <si>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</si>
  <si>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1,8 кг.</t>
  </si>
  <si>
    <t>от 1 шт. до 13 шт. 1360  руб.
от 14 шт. до 109 шт. 1340  руб.
от 110 шт. 1325  руб.</t>
  </si>
  <si>
    <t>54</t>
  </si>
  <si>
    <t>Масло пачка 180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</si>
  <si>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</si>
  <si>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</si>
  <si>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0,18 кг.</t>
  </si>
  <si>
    <t>2715 руб.</t>
  </si>
  <si>
    <t>3,6 кг.</t>
  </si>
  <si>
    <t>от 1 шт. до 6 шт. 2715  руб.
от 56 шт. 2645  руб.
от 7 шт. до 55 шт. 2680  руб.</t>
  </si>
  <si>
    <t>55</t>
  </si>
  <si>
    <t>Масло пачка 300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</si>
  <si>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</si>
  <si>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</si>
  <si>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0,3 кг.</t>
  </si>
  <si>
    <t>4525 руб.</t>
  </si>
  <si>
    <t>6 кг.</t>
  </si>
  <si>
    <t>от 1 шт. до 4 шт. 4525  руб.
от 5 шт. до 39 шт. 4465  руб.
от 40 шт. 4405  руб.</t>
  </si>
  <si>
    <t>56</t>
  </si>
  <si>
    <t>Масло пачка 500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</si>
  <si>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</si>
  <si>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</si>
  <si>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0,5 кг.</t>
  </si>
  <si>
    <t>450 руб.</t>
  </si>
  <si>
    <t>5 кг.</t>
  </si>
  <si>
    <t>от 1 шт. до 4 шт. 4050  руб.
от 5 шт. до 39 шт. 4000  руб.
от 40 шт. 3950  руб.</t>
  </si>
  <si>
    <t>Сыр</t>
  </si>
  <si>
    <t>Мягкие сыры</t>
  </si>
  <si>
    <t>Profi Cheese</t>
  </si>
  <si>
    <t>57</t>
  </si>
  <si>
    <t>Молокосождержащий крем творожный с ЗМЖ ПрофиЧиз/Profi Cheese 30% 5,5 кг</t>
  </si>
  <si>
    <t>Profi Cheese</t>
  </si>
  <si>
    <t>5,5 кг.</t>
  </si>
  <si>
    <t>1562 руб.</t>
  </si>
  <si>
    <t>58</t>
  </si>
  <si>
    <t>Молокосождержащий крем творожный с ЗМЖ ПрофиЧиз/Profi Cheese 30% в коробках</t>
  </si>
  <si>
    <t>Profi Cheese</t>
  </si>
  <si>
    <t>10 кг.</t>
  </si>
  <si>
    <t>2690 руб.</t>
  </si>
  <si>
    <t>59</t>
  </si>
  <si>
    <t>Сыр творожный «Сливочный» GOLD ПрофиЧиз/Profi Cheese 70% 5,5 кг</t>
  </si>
  <si>
    <t>Profi Cheese</t>
  </si>
  <si>
    <t>Вкус и запах: чистый, кисломолочный, характерный для мягких сыров без созревания, без посторонних привкусов и запахов.Консистенция: от мягкой, нежной, пластичной, мажущейся до плотной однородной по всей массе.Цвет: от белого до светло-кремового, однородный по всей массе.</t>
  </si>
  <si>
    <t>5,5 кг.</t>
  </si>
  <si>
    <t>1865.07 руб.</t>
  </si>
  <si>
    <t>60</t>
  </si>
  <si>
    <t>Сыр творожный «Сливочный» ПрофиЧиз/Profi Cheese 70% в ведрах</t>
  </si>
  <si>
    <t>Profi Cheese</t>
  </si>
  <si>
    <t>Вкус и запах: чистый, кисломолочный, характерный для мягких сыров без созревания, без посторонних привкусов и запахов.Консистенция: от мягкой, нежной, пластичной, мажущейся до плотной однородной по всей массе.Цвет: от белого до светло-кремового, однородный по всей массе.</t>
  </si>
  <si>
    <t>0,8 кг.</t>
  </si>
  <si>
    <t>395.2 руб.</t>
  </si>
  <si>
    <t>2 кг.</t>
  </si>
  <si>
    <t>718 руб.</t>
  </si>
  <si>
    <t>5,5 кг.</t>
  </si>
  <si>
    <t>1865.07 руб.</t>
  </si>
  <si>
    <t>61</t>
  </si>
  <si>
    <t>Сыр творожный «Сливочный» ПрофиЧиз/Profi Cheese 70% в коробках</t>
  </si>
  <si>
    <t>Profi Cheese</t>
  </si>
  <si>
    <t>Вкус и запах: чистый, кисломолочный, характерный для мягких сыров без созревания, без посторонних привкусов и запахов.Консистенция: от мягкой, нежной, пластичной, мажущейся до плотной однородной по всей массе.Цвет: от белого до светло-кремового, однородный по всей массе.</t>
  </si>
  <si>
    <t>10 кг.</t>
  </si>
  <si>
    <t>3240 руб.</t>
  </si>
  <si>
    <t>20 кг.</t>
  </si>
  <si>
    <t>6380 руб.</t>
  </si>
  <si>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</si>
  <si>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</si>
  <si>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</si>
  <si>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</si>
  <si>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</si>
  <si>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</si>
  <si>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</si>
  <si>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</si>
  <si>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</si>
  <si>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</si>
  <si>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Кондитерское направление</t>
  </si>
  <si>
    <t>Ароматизаторы</t>
  </si>
  <si>
    <t>Пуратос/Puratos</t>
  </si>
  <si>
    <t>62</t>
  </si>
  <si>
    <t>4101658</t>
  </si>
  <si>
    <t>Наполнитель Саммум фисташковый</t>
  </si>
  <si>
    <t>Пастообразная масса темно зеленого цвета с кусочками фисташкового ореха и ароматом фисташки.</t>
  </si>
  <si>
    <t>5 кг.</t>
  </si>
  <si>
    <t>13300 руб.</t>
  </si>
  <si>
    <t>Декор</t>
  </si>
  <si>
    <t>63</t>
  </si>
  <si>
    <t>9123</t>
  </si>
  <si>
    <t>Посыпка Жемчужный сахар</t>
  </si>
  <si>
    <t>Тартин/Tartine</t>
  </si>
  <si>
    <t>Белые термостабильные гранулы неправильной формы,Не желтеет при высоких температурах.</t>
  </si>
  <si>
    <t>0,25 кг.</t>
  </si>
  <si>
    <t>350 руб.</t>
  </si>
  <si>
    <t>0,5 кг.</t>
  </si>
  <si>
    <t>450 руб.</t>
  </si>
  <si>
    <t>1 кг.</t>
  </si>
  <si>
    <t>750 руб.</t>
  </si>
  <si>
    <t>10 кг.</t>
  </si>
  <si>
    <t>3990 руб.</t>
  </si>
  <si>
    <t>20 кг.</t>
  </si>
  <si>
    <t>7800 руб.</t>
  </si>
  <si>
    <t>5 кг.</t>
  </si>
  <si>
    <t>2950 руб.</t>
  </si>
  <si>
    <t>Изомальт</t>
  </si>
  <si>
    <t>64</t>
  </si>
  <si>
    <t xml:space="preserve">12360287 </t>
  </si>
  <si>
    <t>Изомальт ST M гранулированный</t>
  </si>
  <si>
    <t>Beneo-Palatinit/Бенео Палатинит</t>
  </si>
  <si>
    <t>Белые гранулы 0,3-0,5 мм. Не содержит аллергены. Сладость 45- 60% от сахарозы,калорийность 50% от калорийности сахара. Гликемический индекс 2.</t>
  </si>
  <si>
    <t>25 кг.</t>
  </si>
  <si>
    <t>19300 руб.</t>
  </si>
  <si>
    <t>1 кг.</t>
  </si>
  <si>
    <t>1200 руб.</t>
  </si>
  <si>
    <t>10 кг.</t>
  </si>
  <si>
    <t>8800 руб.</t>
  </si>
  <si>
    <t>5 кг.</t>
  </si>
  <si>
    <t>4900 руб.</t>
  </si>
  <si>
    <t>65</t>
  </si>
  <si>
    <t>12360288</t>
  </si>
  <si>
    <t>Изомальт ST PF порошковый</t>
  </si>
  <si>
    <t>Beneo-Palatinit/Бенео Палатинит</t>
  </si>
  <si>
    <t>Порошок белого цвета. Не содержит аллергены. Сладость 45- 60% от сахарозы,калорийность 50% от калорийности сахара. Гликемический индекс 2.</t>
  </si>
  <si>
    <t>1 кг.</t>
  </si>
  <si>
    <t>1300 руб.</t>
  </si>
  <si>
    <t>10 кг.</t>
  </si>
  <si>
    <t>10300 руб.</t>
  </si>
  <si>
    <t>20 кг.</t>
  </si>
  <si>
    <t>17600 руб.</t>
  </si>
  <si>
    <t>5 кг.</t>
  </si>
  <si>
    <t>5500 руб.</t>
  </si>
  <si>
    <t>66</t>
  </si>
  <si>
    <t>250820221</t>
  </si>
  <si>
    <t>Изомальт мелкокристаллический GS с повышенной растворимостью</t>
  </si>
  <si>
    <t>Beneo-Palatinit/Бенео Палатинит</t>
  </si>
  <si>
    <t>мелкокристаллический порошок белого цвета,без запаха,вкус сладкий.Коэффициент сладости  0,33-0,6%</t>
  </si>
  <si>
    <t>1 кг.</t>
  </si>
  <si>
    <t>1200 руб.</t>
  </si>
  <si>
    <t>25 кг.</t>
  </si>
  <si>
    <t>21000 руб.</t>
  </si>
  <si>
    <t>5 кг.</t>
  </si>
  <si>
    <t>4900 руб.</t>
  </si>
  <si>
    <t>0,5 кг.</t>
  </si>
  <si>
    <t>780 руб.</t>
  </si>
  <si>
    <t>67</t>
  </si>
  <si>
    <t>Изомальт порошковый ST F</t>
  </si>
  <si>
    <t>Beneo-Palatinit/Бенео Палатинит</t>
  </si>
  <si>
    <t>Мелкокристаллический изомальт с размером гранул 0,2-0,7 мм.</t>
  </si>
  <si>
    <t>25 кг.</t>
  </si>
  <si>
    <t>Посыпки</t>
  </si>
  <si>
    <t>KATSAN GIDA SAN. Ve TIC. LTD. STI.</t>
  </si>
  <si>
    <t>68</t>
  </si>
  <si>
    <t>K060103</t>
  </si>
  <si>
    <t>Украшение шоколадное Шарики Криспи белый шоколад</t>
  </si>
  <si>
    <t>KATSAN GIDA SAN. Ve TIC. LTD. STI.</t>
  </si>
  <si>
    <t>0,1 кг.</t>
  </si>
  <si>
    <t>155 руб.</t>
  </si>
  <si>
    <t>69</t>
  </si>
  <si>
    <t>K060105</t>
  </si>
  <si>
    <t>Украшение шоколадное Шарики Криспи жемчуг</t>
  </si>
  <si>
    <t>KATSAN GIDA SAN. Ve TIC. LTD. STI.</t>
  </si>
  <si>
    <t>0,1 кг.</t>
  </si>
  <si>
    <t>205 руб.</t>
  </si>
  <si>
    <t>70</t>
  </si>
  <si>
    <t>K060110</t>
  </si>
  <si>
    <t>Украшение шоколадное Шарики Криспи зеленые</t>
  </si>
  <si>
    <t>KATSAN GIDA SAN. Ve TIC. LTD. STI.</t>
  </si>
  <si>
    <t>0,1 кг.</t>
  </si>
  <si>
    <t>180 руб.</t>
  </si>
  <si>
    <t>71</t>
  </si>
  <si>
    <t>K060106</t>
  </si>
  <si>
    <t>Украшение шоколадное Шарики Криспи золото</t>
  </si>
  <si>
    <t>KATSAN GIDA SAN. Ve TIC. LTD. STI.</t>
  </si>
  <si>
    <t>0,1 кг.</t>
  </si>
  <si>
    <t>185 руб.</t>
  </si>
  <si>
    <t>72</t>
  </si>
  <si>
    <t>K060108</t>
  </si>
  <si>
    <t>Украшение шоколадное Шарики Криспи красные</t>
  </si>
  <si>
    <t>KATSAN GIDA SAN. Ve TIC. LTD. STI.</t>
  </si>
  <si>
    <t>0,1 кг.</t>
  </si>
  <si>
    <t>195 руб.</t>
  </si>
  <si>
    <t>73</t>
  </si>
  <si>
    <t>K060104</t>
  </si>
  <si>
    <t>Украшение шоколадное Шарики Криспи малина</t>
  </si>
  <si>
    <t>KATSAN GIDA SAN. Ve TIC. LTD. STI.</t>
  </si>
  <si>
    <t>0,1 кг.</t>
  </si>
  <si>
    <t>180 руб.</t>
  </si>
  <si>
    <t>74</t>
  </si>
  <si>
    <t>KO60102</t>
  </si>
  <si>
    <t>Украшение шоколадное Шарики Криспи молочный шоколад</t>
  </si>
  <si>
    <t>KATSAN GIDA SAN. Ve TIC. LTD. STI.</t>
  </si>
  <si>
    <t>0,1 кг.</t>
  </si>
  <si>
    <t>165 руб.</t>
  </si>
  <si>
    <t>75</t>
  </si>
  <si>
    <t>K060109</t>
  </si>
  <si>
    <t>Украшение шоколадное Шарики Криспи синие</t>
  </si>
  <si>
    <t>0,1 кг.</t>
  </si>
  <si>
    <t>180 руб.</t>
  </si>
  <si>
    <t>76</t>
  </si>
  <si>
    <t>KO60101</t>
  </si>
  <si>
    <t>Украшение шоколадное Шарики Криспи темный шоколад</t>
  </si>
  <si>
    <t>KATSAN GIDA SAN. Ve TIC. LTD. STI.</t>
  </si>
  <si>
    <t>: Темный шоколад (86%) (сахар, какао-масло, какао-масса, какао-порошок с пониженным содержанием жира, эмульгатор: подсолнечный лецитин (Е322), эфиры полиглицерина и взаимоэтерифицированных рициноловых кислот (Е476), сорбитан тристеарат (Е492), ароматизатор (ваниль), рисовые шарики (13%) (рисовая мука, пшеничная мука, сахар, крахмал, краситель: карбонат кальция (Е170), покрытие (1%) (глазирователь: шеллак (Е904), стабилизатор: камедь акации (E414). Может содержать следы молока и молочных продуктов, орехов. .
</t>
  </si>
  <si>
    <t>0,1 кг.</t>
  </si>
  <si>
    <t>140 руб.</t>
  </si>
  <si>
    <t>77</t>
  </si>
  <si>
    <t>K060056.</t>
  </si>
  <si>
    <t xml:space="preserve">Украшение шоколадное Элипс Криспи золото </t>
  </si>
  <si>
    <t>KATSAN GIDA SAN. Ve TIC. LTD. STI.</t>
  </si>
  <si>
    <t>0,25 кг.</t>
  </si>
  <si>
    <t>495 руб.</t>
  </si>
  <si>
    <t>78</t>
  </si>
  <si>
    <t>K060057</t>
  </si>
  <si>
    <t xml:space="preserve">Украшение шоколадное Элипс Криспи медь </t>
  </si>
  <si>
    <t>KATSAN GIDA SAN. Ve TIC. LTD. STI.</t>
  </si>
  <si>
    <t>0,25 кг.</t>
  </si>
  <si>
    <t>495 руб.</t>
  </si>
  <si>
    <t>Какао Барри/Cacao Barry</t>
  </si>
  <si>
    <t>79</t>
  </si>
  <si>
    <t>CHX-BS-20582E0-999</t>
  </si>
  <si>
    <t>Завитки из темного шоколада 48 % Blossoms Dark</t>
  </si>
  <si>
    <t>1 кг.</t>
  </si>
  <si>
    <t>1390 руб.</t>
  </si>
  <si>
    <t>0,2 кг.</t>
  </si>
  <si>
    <t>380 руб.</t>
  </si>
  <si>
    <t>0,5 кг.</t>
  </si>
  <si>
    <t>840 руб.</t>
  </si>
  <si>
    <t>Каллебаут/Callebaut</t>
  </si>
  <si>
    <t>80</t>
  </si>
  <si>
    <t>CHR-CC-2CRISEO-02B</t>
  </si>
  <si>
    <t xml:space="preserve">Розовые жемчужины из шоколада Руби с хрустящим слоем CRISPEARLS RUBY </t>
  </si>
  <si>
    <t>0,1 кг.</t>
  </si>
  <si>
    <t>265 руб.</t>
  </si>
  <si>
    <t>0 кг.</t>
  </si>
  <si>
    <t>265 руб.</t>
  </si>
  <si>
    <t>0,8 кг.</t>
  </si>
  <si>
    <t>1600 руб.</t>
  </si>
  <si>
    <t>81</t>
  </si>
  <si>
    <t>CHF-BS-19501C-999</t>
  </si>
  <si>
    <t>Шоколадные завитки Blosoms Strawberry со вкусом клубники</t>
  </si>
  <si>
    <t>1 кг.</t>
  </si>
  <si>
    <t>1445 руб.</t>
  </si>
  <si>
    <t>0,25 кг.</t>
  </si>
  <si>
    <t>465 руб.</t>
  </si>
  <si>
    <t>0,5 кг.</t>
  </si>
  <si>
    <t>815 руб.</t>
  </si>
  <si>
    <t>Сахарная пудра</t>
  </si>
  <si>
    <t>82</t>
  </si>
  <si>
    <t>Сахарная пудра тонкого помола</t>
  </si>
  <si>
    <t>белый порошок</t>
  </si>
  <si>
    <t>1 кг.</t>
  </si>
  <si>
    <t>180 руб.</t>
  </si>
  <si>
    <t>5 кг.</t>
  </si>
  <si>
    <t>735 руб.</t>
  </si>
  <si>
    <t xml:space="preserve">Соленая карамель </t>
  </si>
  <si>
    <t>83</t>
  </si>
  <si>
    <t>80856</t>
  </si>
  <si>
    <t>Соленая сливочная карамель кусочками 1-3 мм</t>
  </si>
  <si>
    <t>1 кг.</t>
  </si>
  <si>
    <t>2000 руб.</t>
  </si>
  <si>
    <t>15 кг.</t>
  </si>
  <si>
    <t>380 руб.</t>
  </si>
  <si>
    <t>0,15 кг.</t>
  </si>
  <si>
    <t>380 руб.</t>
  </si>
  <si>
    <t>0,25 кг.</t>
  </si>
  <si>
    <t>380 руб.</t>
  </si>
  <si>
    <t>3 кг.</t>
  </si>
  <si>
    <t>5545 руб.</t>
  </si>
  <si>
    <t>0,5 кг.</t>
  </si>
  <si>
    <t>1090 руб.</t>
  </si>
  <si>
    <t>Жемчужный сахар</t>
  </si>
  <si>
    <t>84</t>
  </si>
  <si>
    <t>9123</t>
  </si>
  <si>
    <t>Посыпка Жемчужный сахар</t>
  </si>
  <si>
    <t>Тартин/Tartine</t>
  </si>
  <si>
    <t>Белые термостабильные гранулы неправильной формы,Не желтеет при высоких температурах.</t>
  </si>
  <si>
    <t>0,25 кг.</t>
  </si>
  <si>
    <t>350 руб.</t>
  </si>
  <si>
    <t>0,5 кг.</t>
  </si>
  <si>
    <t>450 руб.</t>
  </si>
  <si>
    <t>1 кг.</t>
  </si>
  <si>
    <t>750 руб.</t>
  </si>
  <si>
    <t>10 кг.</t>
  </si>
  <si>
    <t>3990 руб.</t>
  </si>
  <si>
    <t>20 кг.</t>
  </si>
  <si>
    <t>7800 руб.</t>
  </si>
  <si>
    <t>5 кг.</t>
  </si>
  <si>
    <t>2950 руб.</t>
  </si>
  <si>
    <t>Вафельная крошка</t>
  </si>
  <si>
    <t>85</t>
  </si>
  <si>
    <t>M-7PAIL-401</t>
  </si>
  <si>
    <t>Вафельная крошка Pailleté Feuilletine</t>
  </si>
  <si>
    <t>1 кг.</t>
  </si>
  <si>
    <t>1580 руб.</t>
  </si>
  <si>
    <t>2,5 кг.</t>
  </si>
  <si>
    <t>3345 руб.</t>
  </si>
  <si>
    <t>0,25 кг.</t>
  </si>
  <si>
    <t>590 руб.</t>
  </si>
  <si>
    <t>0,5 кг.</t>
  </si>
  <si>
    <t>990 руб.</t>
  </si>
  <si>
    <t>Взрывная карамель</t>
  </si>
  <si>
    <t>86</t>
  </si>
  <si>
    <t>190920221</t>
  </si>
  <si>
    <t>Взрывная карамель 0,5-4,5 мм</t>
  </si>
  <si>
    <t>Тилтей/Tiltay</t>
  </si>
  <si>
    <t>0,1 кг.</t>
  </si>
  <si>
    <t>660 руб.</t>
  </si>
  <si>
    <t>15 кг.</t>
  </si>
  <si>
    <t>32820 руб.</t>
  </si>
  <si>
    <t>1 кг.</t>
  </si>
  <si>
    <t>2570 руб.</t>
  </si>
  <si>
    <t>0,25 кг.</t>
  </si>
  <si>
    <t>525 руб.</t>
  </si>
  <si>
    <t>0,5 кг.</t>
  </si>
  <si>
    <t>1635 руб.</t>
  </si>
  <si>
    <t>7,5 кг.</t>
  </si>
  <si>
    <t>17895 руб.</t>
  </si>
  <si>
    <t>660 руб.</t>
  </si>
  <si>
    <t>87</t>
  </si>
  <si>
    <t>Взрывная карамель 1-3 мм</t>
  </si>
  <si>
    <t>Tiltay</t>
  </si>
  <si>
    <t>1 кг.</t>
  </si>
  <si>
    <t>2690 руб.</t>
  </si>
  <si>
    <t>0,1 кг.</t>
  </si>
  <si>
    <t>360 руб.</t>
  </si>
  <si>
    <t>15 кг.</t>
  </si>
  <si>
    <t>32820 руб.</t>
  </si>
  <si>
    <t>0,25 кг.</t>
  </si>
  <si>
    <t>2690 руб.</t>
  </si>
  <si>
    <t>0,5 кг.</t>
  </si>
  <si>
    <t>1435 руб.</t>
  </si>
  <si>
    <t>7,5 кг.</t>
  </si>
  <si>
    <t>17895 руб.</t>
  </si>
  <si>
    <t>2690 руб.</t>
  </si>
  <si>
    <t>Десертные пасты</t>
  </si>
  <si>
    <t>Irca/Ирка</t>
  </si>
  <si>
    <t>88</t>
  </si>
  <si>
    <t>230000129</t>
  </si>
  <si>
    <t>Паста десертная ваниль "Joypaste Vaniglia Madagascar"</t>
  </si>
  <si>
    <t>1,2 кг.</t>
  </si>
  <si>
    <t>5750 руб.</t>
  </si>
  <si>
    <t>0,1 кг.</t>
  </si>
  <si>
    <t>850 руб.</t>
  </si>
  <si>
    <t>0,3 кг.</t>
  </si>
  <si>
    <t>1690 руб.</t>
  </si>
  <si>
    <t>89</t>
  </si>
  <si>
    <t>71221</t>
  </si>
  <si>
    <t>Паста десертная Джойпаст Баноффи</t>
  </si>
  <si>
    <t>Irca</t>
  </si>
  <si>
    <t>1,2 кг.</t>
  </si>
  <si>
    <t>1495 руб.</t>
  </si>
  <si>
    <t>0,2 кг.</t>
  </si>
  <si>
    <t>360 руб.</t>
  </si>
  <si>
    <t>0,5 кг.</t>
  </si>
  <si>
    <t>750 руб.</t>
  </si>
  <si>
    <t>90</t>
  </si>
  <si>
    <t>71220</t>
  </si>
  <si>
    <t>Паста десертная Джойпаст Лайм</t>
  </si>
  <si>
    <t>Irca/Ирка</t>
  </si>
  <si>
    <t>Пастообразная масса зеленоватого цвета, со вкусом и запахом лайма, без посторонних привкусов и запахов.</t>
  </si>
  <si>
    <t>1,2 кг.</t>
  </si>
  <si>
    <t>1960 руб.</t>
  </si>
  <si>
    <t>0,2 кг.</t>
  </si>
  <si>
    <t>495 руб.</t>
  </si>
  <si>
    <t>0,5 кг.</t>
  </si>
  <si>
    <t>985 руб.</t>
  </si>
  <si>
    <t>Пуратос/Puratos</t>
  </si>
  <si>
    <t>91</t>
  </si>
  <si>
    <t>4101658</t>
  </si>
  <si>
    <t>Наполнитель Саммум фисташковый</t>
  </si>
  <si>
    <t>Пастообразная масса темно зеленого цвета с кусочками фисташкового ореха и ароматом фисташки.</t>
  </si>
  <si>
    <t>5 кг.</t>
  </si>
  <si>
    <t>13300 руб.</t>
  </si>
  <si>
    <t>Компритал/Comprital</t>
  </si>
  <si>
    <t>92</t>
  </si>
  <si>
    <t>72735</t>
  </si>
  <si>
    <t>Паста десертная Джубилео Роза</t>
  </si>
  <si>
    <t>Comprital</t>
  </si>
  <si>
    <t>Пастообразная сладкая масса розового цвета с ароматом розы.</t>
  </si>
  <si>
    <t>1 кг.</t>
  </si>
  <si>
    <t>2395 руб.</t>
  </si>
  <si>
    <t>0,2 кг.</t>
  </si>
  <si>
    <t>650 руб.</t>
  </si>
  <si>
    <t>0,5 кг.</t>
  </si>
  <si>
    <t>1305 руб.</t>
  </si>
  <si>
    <t>93</t>
  </si>
  <si>
    <t>72644</t>
  </si>
  <si>
    <t>Паста десертная Примафрутта Маракуйя</t>
  </si>
  <si>
    <t>Comprital</t>
  </si>
  <si>
    <t>Пастообразная масса темно-оранжевого цвета со вкусом и ароматом маракуйи, без посторонних привкусов и запахов.</t>
  </si>
  <si>
    <t>1 кг.</t>
  </si>
  <si>
    <t>1890 руб.</t>
  </si>
  <si>
    <t>0,2 кг.</t>
  </si>
  <si>
    <t>490 руб.</t>
  </si>
  <si>
    <t>0,5 кг.</t>
  </si>
  <si>
    <t>1030 руб.</t>
  </si>
  <si>
    <t>94</t>
  </si>
  <si>
    <t>72677</t>
  </si>
  <si>
    <t>Паста десертная со вкусом жевательной резинки Бабл Гам</t>
  </si>
  <si>
    <t>Comprital</t>
  </si>
  <si>
    <t>1 кг.</t>
  </si>
  <si>
    <t>1950 руб.</t>
  </si>
  <si>
    <t>0,2 кг.</t>
  </si>
  <si>
    <t>500 руб.</t>
  </si>
  <si>
    <t>500 кг.</t>
  </si>
  <si>
    <t>1026255 руб.</t>
  </si>
  <si>
    <t>Засахаренные фрукты/Цукаты</t>
  </si>
  <si>
    <t>95</t>
  </si>
  <si>
    <t>84811</t>
  </si>
  <si>
    <t xml:space="preserve"> Лимонная корочка засах.кубик.6х6 мм </t>
  </si>
  <si>
    <t>CHERRY VALLEY GIDA SAN.TIC.LTD.STI</t>
  </si>
  <si>
    <t>1 кг.</t>
  </si>
  <si>
    <t>735 руб.</t>
  </si>
  <si>
    <t>0,5 кг.</t>
  </si>
  <si>
    <t>425 руб.</t>
  </si>
  <si>
    <t>96</t>
  </si>
  <si>
    <t>84810</t>
  </si>
  <si>
    <t>Апельсиновая корочка засах.кубик.6х6 мм (</t>
  </si>
  <si>
    <t>CHERRY VALLEY GIDA SAN.TIC.LTD.STI</t>
  </si>
  <si>
    <t>1 кг.</t>
  </si>
  <si>
    <t>695 руб.</t>
  </si>
  <si>
    <t>0,5 кг.</t>
  </si>
  <si>
    <t>405 руб.</t>
  </si>
  <si>
    <t>Проспона/Prospona</t>
  </si>
  <si>
    <t>97</t>
  </si>
  <si>
    <t>00-00000578</t>
  </si>
  <si>
    <t>Цукаты Апельсин (кубики) 4х4 мм</t>
  </si>
  <si>
    <t>Вкус и запах апельсиновый, характерный для
используемого сырья и добавок, без
посторонних запахов и послевкусия
Консистенция и внешний вид характерный для цукатов из
апельсиновой корки, нарезанной на кубики. Допускается вытекание
сиропа.
Цвет оранжевый</t>
  </si>
  <si>
    <t>1 кг.</t>
  </si>
  <si>
    <t>755 руб.</t>
  </si>
  <si>
    <t>10 кг.</t>
  </si>
  <si>
    <t>6130 руб.</t>
  </si>
  <si>
    <t>3 кг.</t>
  </si>
  <si>
    <t>2110 руб.</t>
  </si>
  <si>
    <t>0,5 кг.</t>
  </si>
  <si>
    <t>465 руб.</t>
  </si>
  <si>
    <t>Ореховая мука/орехи/марципан</t>
  </si>
  <si>
    <t>Calconut/Испания</t>
  </si>
  <si>
    <t>98</t>
  </si>
  <si>
    <t>Миндальная мука мелкого помола</t>
  </si>
  <si>
    <t>1 кг.</t>
  </si>
  <si>
    <t>880 руб.</t>
  </si>
  <si>
    <t>10 кг.</t>
  </si>
  <si>
    <t>8190 руб.</t>
  </si>
  <si>
    <t>Moll Marzipan</t>
  </si>
  <si>
    <t>99</t>
  </si>
  <si>
    <t>Марципан 70/30</t>
  </si>
  <si>
    <t>Moll Marzipan GmbH</t>
  </si>
  <si>
    <t>1 кг.</t>
  </si>
  <si>
    <t>835 руб.</t>
  </si>
  <si>
    <t>12,5 кг.</t>
  </si>
  <si>
    <t>8615 руб.</t>
  </si>
  <si>
    <t>0,5 кг.</t>
  </si>
  <si>
    <t>520 руб.</t>
  </si>
  <si>
    <t xml:space="preserve"> Georg Lemke GmbH&amp;Co.KG</t>
  </si>
  <si>
    <t>100</t>
  </si>
  <si>
    <t>76121</t>
  </si>
  <si>
    <t xml:space="preserve"> Паста сахарно-миндальная МАРЦИПАН Вишня ( пакет 0,2 кг )</t>
  </si>
  <si>
    <t>Пастообразная масса средней твердости, эластичная, без кристализованного сахара, цвет от темно-фиолетового до пурпурного, с привкусом сладкого миндаля и спелой ароматной вишни.</t>
  </si>
  <si>
    <t>1 шт.</t>
  </si>
  <si>
    <t>250 руб.</t>
  </si>
  <si>
    <t>Покрытия</t>
  </si>
  <si>
    <t>Гели/глазури</t>
  </si>
  <si>
    <t>Горячего применения</t>
  </si>
  <si>
    <t>Пуратос/Puratos</t>
  </si>
  <si>
    <t>101</t>
  </si>
  <si>
    <t>4003308</t>
  </si>
  <si>
    <t>Глазурь  Армони Руби клубничная</t>
  </si>
  <si>
    <t>Бесцветная прозрачная глазурь.</t>
  </si>
  <si>
    <t>12,5 кг.</t>
  </si>
  <si>
    <t>3350 руб.</t>
  </si>
  <si>
    <t>102</t>
  </si>
  <si>
    <t>4004619</t>
  </si>
  <si>
    <t>Глазурь Армони Айс Глейз белая</t>
  </si>
  <si>
    <t>глазурь белая,блестящая.</t>
  </si>
  <si>
    <t>12,5 кг.</t>
  </si>
  <si>
    <t>3350 руб.</t>
  </si>
  <si>
    <t>103</t>
  </si>
  <si>
    <t>4104620</t>
  </si>
  <si>
    <t>Глазурь Армони Бриант абрикосовая</t>
  </si>
  <si>
    <t>Пуратос/Puratos</t>
  </si>
  <si>
    <t>12,5 кг.</t>
  </si>
  <si>
    <t>3470 руб.</t>
  </si>
  <si>
    <t>104</t>
  </si>
  <si>
    <t>4104621</t>
  </si>
  <si>
    <t>Глазурь Армони Нейтральная</t>
  </si>
  <si>
    <t>Бесцветная прозрачная глазурь.</t>
  </si>
  <si>
    <t>12,5 кг.</t>
  </si>
  <si>
    <t>2770 руб.</t>
  </si>
  <si>
    <t>1 кг.</t>
  </si>
  <si>
    <t>490 руб.</t>
  </si>
  <si>
    <t>0,25 кг.</t>
  </si>
  <si>
    <t>230 руб.</t>
  </si>
  <si>
    <t>Холодного применения</t>
  </si>
  <si>
    <t>105</t>
  </si>
  <si>
    <t>СтабКолдгель</t>
  </si>
  <si>
    <t>25 кг.</t>
  </si>
  <si>
    <t>76155 руб.</t>
  </si>
  <si>
    <t>Пуратос/Puratos</t>
  </si>
  <si>
    <t>106</t>
  </si>
  <si>
    <t>4005531</t>
  </si>
  <si>
    <t>Гель Декорфил Апельсин</t>
  </si>
  <si>
    <t>матовый цветной ароматизированный гель.</t>
  </si>
  <si>
    <t>6 кг.</t>
  </si>
  <si>
    <t>1620 руб.</t>
  </si>
  <si>
    <t>107</t>
  </si>
  <si>
    <t>4005529</t>
  </si>
  <si>
    <t>Гель Декорфил клубника</t>
  </si>
  <si>
    <t>6 кг.</t>
  </si>
  <si>
    <t>1620 руб.</t>
  </si>
  <si>
    <t>108</t>
  </si>
  <si>
    <t>4009352</t>
  </si>
  <si>
    <t>Гель Декорфил манго и маракуя</t>
  </si>
  <si>
    <t>однородная глянцевая масса, бесцветная, обладающая сладко-кислым вкусом и ароматом имитируемого продукта.</t>
  </si>
  <si>
    <t>6 кг.</t>
  </si>
  <si>
    <t>1670 руб.</t>
  </si>
  <si>
    <t>109</t>
  </si>
  <si>
    <t>4005536</t>
  </si>
  <si>
    <t>Гель Декорфил Персик</t>
  </si>
  <si>
    <t>Пуратос/Puratos</t>
  </si>
  <si>
    <t>разноцветный гель с ярко выраженным цветом и запахом.</t>
  </si>
  <si>
    <t>6 кг.</t>
  </si>
  <si>
    <t>1620 руб.</t>
  </si>
  <si>
    <t>110</t>
  </si>
  <si>
    <t>4009354</t>
  </si>
  <si>
    <t>Гель Декорфил с ароматом черники со сливками</t>
  </si>
  <si>
    <t>матовый ароматизированный гель</t>
  </si>
  <si>
    <t>6 кг.</t>
  </si>
  <si>
    <t>1670 руб.</t>
  </si>
  <si>
    <t>111</t>
  </si>
  <si>
    <t>4011530</t>
  </si>
  <si>
    <t>Гель Декорфил со вкусом вишни</t>
  </si>
  <si>
    <t>гель матовый со вкусом вишни.</t>
  </si>
  <si>
    <t>6 кг.</t>
  </si>
  <si>
    <t>1670 руб.</t>
  </si>
  <si>
    <t>112</t>
  </si>
  <si>
    <t>4011532</t>
  </si>
  <si>
    <t>Гель Декорфил черная смородина</t>
  </si>
  <si>
    <t>Однородная глянцевая масса, не растекающаяся на горизонтальной поверхности, бесцветная, обладающая сладко-кислым вкусом и ароматом имитируемого продукта.</t>
  </si>
  <si>
    <t>6 кг.</t>
  </si>
  <si>
    <t>1670 руб.</t>
  </si>
  <si>
    <t>113</t>
  </si>
  <si>
    <t>4104632</t>
  </si>
  <si>
    <t>Глазурь Брило  Нейтраль</t>
  </si>
  <si>
    <t>6 кг.</t>
  </si>
  <si>
    <t>1740 руб.</t>
  </si>
  <si>
    <t>114</t>
  </si>
  <si>
    <t>4104626</t>
  </si>
  <si>
    <t>Глазурь Брило Белая</t>
  </si>
  <si>
    <t>Прозрачная цветная блестящая глазурь</t>
  </si>
  <si>
    <t>6 кг.</t>
  </si>
  <si>
    <t>1760 руб.</t>
  </si>
  <si>
    <t>115</t>
  </si>
  <si>
    <t>4104628</t>
  </si>
  <si>
    <t xml:space="preserve">Глазурь Брило Карамельная </t>
  </si>
  <si>
    <t>Пуратос/Puratos</t>
  </si>
  <si>
    <t>6 шт.</t>
  </si>
  <si>
    <t>1760 руб.</t>
  </si>
  <si>
    <t>116</t>
  </si>
  <si>
    <t>4005254</t>
  </si>
  <si>
    <t>Глазурь Брило со вкусом кленового сиропа</t>
  </si>
  <si>
    <t>Пуратос/Puratos</t>
  </si>
  <si>
    <t>Блестящая коричневая с кисло-сладким вкусом и ароматом кленового сиропа, растекающаяся на горизонтальной поверхности</t>
  </si>
  <si>
    <t>6 кг.</t>
  </si>
  <si>
    <t>1870 руб.</t>
  </si>
  <si>
    <t>117</t>
  </si>
  <si>
    <t>4104633</t>
  </si>
  <si>
    <t xml:space="preserve">Глазурь Брило со вкусом клубники    </t>
  </si>
  <si>
    <t>Прозрачная цветная блестящая глазурь</t>
  </si>
  <si>
    <t>6 кг.</t>
  </si>
  <si>
    <t>1760 руб.</t>
  </si>
  <si>
    <t>118</t>
  </si>
  <si>
    <t>4104634</t>
  </si>
  <si>
    <t>Глазурь Брило Темный шоколад</t>
  </si>
  <si>
    <t>Пуратос/Puratos</t>
  </si>
  <si>
    <t>черная шоколадная глазурь</t>
  </si>
  <si>
    <t>6 кг.</t>
  </si>
  <si>
    <t>1820 руб.</t>
  </si>
  <si>
    <t>119</t>
  </si>
  <si>
    <t>4100959</t>
  </si>
  <si>
    <t>Глазурь Мируар Глассаж Нуар</t>
  </si>
  <si>
    <t>Пуратос/Puratos</t>
  </si>
  <si>
    <t>5 кг.</t>
  </si>
  <si>
    <t>3430 руб.</t>
  </si>
  <si>
    <t>120</t>
  </si>
  <si>
    <t>4102443</t>
  </si>
  <si>
    <t>Глазурь Мируар Карамельный</t>
  </si>
  <si>
    <t>Пуратос/Puratos</t>
  </si>
  <si>
    <t>блестящая карамельная глазуь</t>
  </si>
  <si>
    <t>5 кг.</t>
  </si>
  <si>
    <t>3170 руб.</t>
  </si>
  <si>
    <t>121</t>
  </si>
  <si>
    <t>4003515</t>
  </si>
  <si>
    <t xml:space="preserve">Глазурь Мируар Нейтральная с ароматом ванили </t>
  </si>
  <si>
    <t>блестящая нейтральная глазурь</t>
  </si>
  <si>
    <t>5 кг.</t>
  </si>
  <si>
    <t>2980 руб.</t>
  </si>
  <si>
    <t>Помадки</t>
  </si>
  <si>
    <t>Ирка/Irca</t>
  </si>
  <si>
    <t>122</t>
  </si>
  <si>
    <t>230000065</t>
  </si>
  <si>
    <t>Помадка сахарная "Fondant"</t>
  </si>
  <si>
    <t>0,5 кг.</t>
  </si>
  <si>
    <t>340 руб.</t>
  </si>
  <si>
    <t>1 кг.</t>
  </si>
  <si>
    <t>545 руб.</t>
  </si>
  <si>
    <t>7 кг.</t>
  </si>
  <si>
    <t>2980 руб.</t>
  </si>
  <si>
    <t>Пуратос/Puratos</t>
  </si>
  <si>
    <t>123</t>
  </si>
  <si>
    <t>4006342</t>
  </si>
  <si>
    <t>Глазурь  Айсинг малина</t>
  </si>
  <si>
    <t>Пуратос/Puratos</t>
  </si>
  <si>
    <t>12,5 кг.</t>
  </si>
  <si>
    <t>4150 руб.</t>
  </si>
  <si>
    <t>124</t>
  </si>
  <si>
    <t>4006344</t>
  </si>
  <si>
    <t xml:space="preserve">Глазурь Айсинг со вкусом карамели </t>
  </si>
  <si>
    <t>Пуратос/Puratos</t>
  </si>
  <si>
    <t>12,5 кг.</t>
  </si>
  <si>
    <t>4400 руб.</t>
  </si>
  <si>
    <t>125</t>
  </si>
  <si>
    <t>4012636</t>
  </si>
  <si>
    <t xml:space="preserve">Глазурь Фудж Белая </t>
  </si>
  <si>
    <t>8,5 кг.</t>
  </si>
  <si>
    <t>3640 руб.</t>
  </si>
  <si>
    <t>126</t>
  </si>
  <si>
    <t>4015646</t>
  </si>
  <si>
    <t>Глазурь Фудж со вкусом шоколада</t>
  </si>
  <si>
    <t>8,5 кг.</t>
  </si>
  <si>
    <t>3895 руб.</t>
  </si>
  <si>
    <t>127</t>
  </si>
  <si>
    <t>4104610</t>
  </si>
  <si>
    <t>Помадка Айсинг белая</t>
  </si>
  <si>
    <t>Пуратос/Puratos</t>
  </si>
  <si>
    <t>глазурь представляет  собой однородную, непрозрачную пастообразная массу белого цвета, обладающую сладким вкусом и лёгким ароматом ванили.</t>
  </si>
  <si>
    <t>12,5 кг.</t>
  </si>
  <si>
    <t>4350 руб.</t>
  </si>
  <si>
    <t>1 кг.</t>
  </si>
  <si>
    <t>435 руб.</t>
  </si>
  <si>
    <t>0,5 кг.</t>
  </si>
  <si>
    <t>265 руб.</t>
  </si>
  <si>
    <t>128</t>
  </si>
  <si>
    <t>4006343</t>
  </si>
  <si>
    <t>Помадка Айсинг лимон</t>
  </si>
  <si>
    <t>Пуратос/Puratos</t>
  </si>
  <si>
    <t>12,5 кг.</t>
  </si>
  <si>
    <t>4150 руб.</t>
  </si>
  <si>
    <t>129</t>
  </si>
  <si>
    <t>1100852</t>
  </si>
  <si>
    <t xml:space="preserve">Помадка сухая порошкообразная </t>
  </si>
  <si>
    <t>1 кг.</t>
  </si>
  <si>
    <t>540 руб.</t>
  </si>
  <si>
    <t>25 кг.</t>
  </si>
  <si>
    <t>10220 руб.</t>
  </si>
  <si>
    <t>5 кг.</t>
  </si>
  <si>
    <t>2220 руб.</t>
  </si>
  <si>
    <t>0,5 кг.</t>
  </si>
  <si>
    <t>370 руб.</t>
  </si>
  <si>
    <t xml:space="preserve">Шоколадные кремообразные </t>
  </si>
  <si>
    <t>Пуратос/Puratos</t>
  </si>
  <si>
    <t>130</t>
  </si>
  <si>
    <t>4005195</t>
  </si>
  <si>
    <t>Глазурь Карат Декоркрем Натти</t>
  </si>
  <si>
    <t>Однородная (без ощутимых частиц сахара и какао-продуктов) масса темно-коричневого цвета, обладающая сладким вкусом и ароматом шоколада.</t>
  </si>
  <si>
    <t>12 кг.</t>
  </si>
  <si>
    <t>5100 руб.</t>
  </si>
  <si>
    <t>131</t>
  </si>
  <si>
    <t>4007542</t>
  </si>
  <si>
    <t>Глазурь Карат Декоркрем Шоко</t>
  </si>
  <si>
    <t>12 кг.</t>
  </si>
  <si>
    <t>4810 руб.</t>
  </si>
  <si>
    <t>132</t>
  </si>
  <si>
    <t>4007543</t>
  </si>
  <si>
    <t>Глазурь Карат Суперкрем  Натти</t>
  </si>
  <si>
    <t>Консистенция:5 – 10°С — плотная;25 – 30°С — вязкая, гладкая, с блестящей поверхностью;40 – 45°С — жидкая.</t>
  </si>
  <si>
    <t>12 кг.</t>
  </si>
  <si>
    <t>4700 руб.</t>
  </si>
  <si>
    <t>133</t>
  </si>
  <si>
    <t>4007544</t>
  </si>
  <si>
    <t>Глазурь Карат Суперкрем Шоко</t>
  </si>
  <si>
    <t>Консистенция:5 – 10°С — плотная;25 – 30°С — вязкая, гладкая, с блест ящей поверхностью;40 – 45°С — жидкая.</t>
  </si>
  <si>
    <t>12 кг.</t>
  </si>
  <si>
    <t>4650 руб.</t>
  </si>
  <si>
    <t>Кондитерские смеси</t>
  </si>
  <si>
    <t>Бисквитные смеси</t>
  </si>
  <si>
    <t>Пуратос/Puratos</t>
  </si>
  <si>
    <t>134</t>
  </si>
  <si>
    <t>4007289</t>
  </si>
  <si>
    <t>Изи Бисквисофт</t>
  </si>
  <si>
    <t>15 кг.</t>
  </si>
  <si>
    <t>6500 руб.</t>
  </si>
  <si>
    <t>135</t>
  </si>
  <si>
    <t>4016210</t>
  </si>
  <si>
    <t>Изи Бисквисофт Марсала</t>
  </si>
  <si>
    <t>15 кг.</t>
  </si>
  <si>
    <t>11190 руб.</t>
  </si>
  <si>
    <t>136</t>
  </si>
  <si>
    <t>4104656</t>
  </si>
  <si>
    <t>Изи Бисквит</t>
  </si>
  <si>
    <t>25 кг.</t>
  </si>
  <si>
    <t>12700 руб.</t>
  </si>
  <si>
    <t>137</t>
  </si>
  <si>
    <t>4006041</t>
  </si>
  <si>
    <t>Изи Вивакейк</t>
  </si>
  <si>
    <t>15 кг.</t>
  </si>
  <si>
    <t>4430 руб.</t>
  </si>
  <si>
    <t>138</t>
  </si>
  <si>
    <t>4011335</t>
  </si>
  <si>
    <t>Изи Клара Ультра</t>
  </si>
  <si>
    <t>15 кг.</t>
  </si>
  <si>
    <t>6480 руб.</t>
  </si>
  <si>
    <t>139</t>
  </si>
  <si>
    <t>4005851</t>
  </si>
  <si>
    <t xml:space="preserve">Изи Криспи Кейк </t>
  </si>
  <si>
    <t>15 кг.</t>
  </si>
  <si>
    <t>8160 руб.</t>
  </si>
  <si>
    <t>140</t>
  </si>
  <si>
    <t>4008941</t>
  </si>
  <si>
    <t>Изи Маффин</t>
  </si>
  <si>
    <t>15 кг.</t>
  </si>
  <si>
    <t>4400 руб.</t>
  </si>
  <si>
    <t>141</t>
  </si>
  <si>
    <t>4009840</t>
  </si>
  <si>
    <t>Изи Маффин Шоко</t>
  </si>
  <si>
    <t>15 кг.</t>
  </si>
  <si>
    <t>7760 руб.</t>
  </si>
  <si>
    <t>142</t>
  </si>
  <si>
    <t>4104668</t>
  </si>
  <si>
    <t>Изи Патакрут</t>
  </si>
  <si>
    <t>15 кг.</t>
  </si>
  <si>
    <t>3920 руб.</t>
  </si>
  <si>
    <t>143</t>
  </si>
  <si>
    <t>4104669</t>
  </si>
  <si>
    <t xml:space="preserve">Изи Пламкейк </t>
  </si>
  <si>
    <t>15 кг.</t>
  </si>
  <si>
    <t>5150 руб.</t>
  </si>
  <si>
    <t>144</t>
  </si>
  <si>
    <t>4013812</t>
  </si>
  <si>
    <t>Изи Софт Кейк</t>
  </si>
  <si>
    <t>прекрасная текстура, волокнистость,высочайшее качество</t>
  </si>
  <si>
    <t>15 кг.</t>
  </si>
  <si>
    <t>5610 руб.</t>
  </si>
  <si>
    <t>145</t>
  </si>
  <si>
    <t>4008942</t>
  </si>
  <si>
    <t>Концентрированная смесь Пурамаффин</t>
  </si>
  <si>
    <t>15 кг.</t>
  </si>
  <si>
    <t>7730 руб.</t>
  </si>
  <si>
    <t>146</t>
  </si>
  <si>
    <t>4104932</t>
  </si>
  <si>
    <t>Теграл Альмандо</t>
  </si>
  <si>
    <t>15 кг.</t>
  </si>
  <si>
    <t>8350 руб.</t>
  </si>
  <si>
    <t>147</t>
  </si>
  <si>
    <t>4104783</t>
  </si>
  <si>
    <t>Теграл Бисквит</t>
  </si>
  <si>
    <t>25 кг.</t>
  </si>
  <si>
    <t>6320 руб.</t>
  </si>
  <si>
    <t>148</t>
  </si>
  <si>
    <t>4003090</t>
  </si>
  <si>
    <t xml:space="preserve">Теграл Бисквит Какао </t>
  </si>
  <si>
    <t>25 кг.</t>
  </si>
  <si>
    <t>7070 руб.</t>
  </si>
  <si>
    <t>149</t>
  </si>
  <si>
    <t>4013541</t>
  </si>
  <si>
    <t>Теграл Глория Кейк</t>
  </si>
  <si>
    <t>7 кг.</t>
  </si>
  <si>
    <t>2750 руб.</t>
  </si>
  <si>
    <t>150</t>
  </si>
  <si>
    <t>4104784</t>
  </si>
  <si>
    <t>Теграл Мойст Шоколад Кейк</t>
  </si>
  <si>
    <t>15 кг.</t>
  </si>
  <si>
    <t>4980 руб.</t>
  </si>
  <si>
    <t>151</t>
  </si>
  <si>
    <t>4104789</t>
  </si>
  <si>
    <t>Теграл Сатин Крим Кейк</t>
  </si>
  <si>
    <t>15 кг.</t>
  </si>
  <si>
    <t>3700 руб.</t>
  </si>
  <si>
    <t>152</t>
  </si>
  <si>
    <t>4104791</t>
  </si>
  <si>
    <t>Теграл Сатин Цельнозерновой Кекс</t>
  </si>
  <si>
    <t>15 кг.</t>
  </si>
  <si>
    <t>4350 руб.</t>
  </si>
  <si>
    <t>153</t>
  </si>
  <si>
    <t>4004274</t>
  </si>
  <si>
    <t>Теграл Шифон Кейк</t>
  </si>
  <si>
    <t>15 кг.</t>
  </si>
  <si>
    <t>5000 руб.</t>
  </si>
  <si>
    <t>154</t>
  </si>
  <si>
    <t>4104792</t>
  </si>
  <si>
    <t>Теграл Эверкейк Рико</t>
  </si>
  <si>
    <t>15 кг.</t>
  </si>
  <si>
    <t>3800 руб.</t>
  </si>
  <si>
    <t>155</t>
  </si>
  <si>
    <t>4104833</t>
  </si>
  <si>
    <t xml:space="preserve">Эверкейк </t>
  </si>
  <si>
    <t>15 кг.</t>
  </si>
  <si>
    <t>3400 руб.</t>
  </si>
  <si>
    <t>Смеси для кремов</t>
  </si>
  <si>
    <t>Пуратос/Puratos</t>
  </si>
  <si>
    <t>156</t>
  </si>
  <si>
    <t>4016626</t>
  </si>
  <si>
    <t>Кремиаль Ванилла</t>
  </si>
  <si>
    <t>15 кг.</t>
  </si>
  <si>
    <t>5690 руб.</t>
  </si>
  <si>
    <t>157</t>
  </si>
  <si>
    <t>4013666</t>
  </si>
  <si>
    <t>Кремиаль Шеф Чеддер</t>
  </si>
  <si>
    <t>Пуратос/Puratos</t>
  </si>
  <si>
    <t>10 кг.</t>
  </si>
  <si>
    <t>4870 руб.</t>
  </si>
  <si>
    <t>158</t>
  </si>
  <si>
    <t>4104685</t>
  </si>
  <si>
    <t>Кремиголд БС</t>
  </si>
  <si>
    <t>порошок цвета слоновой кости.</t>
  </si>
  <si>
    <t>15 кг.</t>
  </si>
  <si>
    <t>5410 руб.</t>
  </si>
  <si>
    <t>159</t>
  </si>
  <si>
    <t>4104687</t>
  </si>
  <si>
    <t>Кремилайт</t>
  </si>
  <si>
    <t>Пуратос/Puratos</t>
  </si>
  <si>
    <t>15 кг.</t>
  </si>
  <si>
    <t>7250 руб.</t>
  </si>
  <si>
    <t>160</t>
  </si>
  <si>
    <t>4005888</t>
  </si>
  <si>
    <t>Кремилюкс ПБ</t>
  </si>
  <si>
    <t>однородная порошкообразная масса кремового цвета, допускаются неплотно слежавшиеся комочки.Запах свойственный данному виду изделий, не затхлый, не плесневелый.</t>
  </si>
  <si>
    <t>15 кг.</t>
  </si>
  <si>
    <t>5930 руб.</t>
  </si>
  <si>
    <t>161</t>
  </si>
  <si>
    <t>4104756</t>
  </si>
  <si>
    <t>Палома Баваруа</t>
  </si>
  <si>
    <t>порошок белого цвета с легким ванильным запахом, полностью растворимый в воде, образующий прозрачную желеобразную массу.</t>
  </si>
  <si>
    <t>10 кг.</t>
  </si>
  <si>
    <t>6160 руб.</t>
  </si>
  <si>
    <t>162</t>
  </si>
  <si>
    <t>4006009</t>
  </si>
  <si>
    <t>Палома Бланка</t>
  </si>
  <si>
    <t>10 кг.</t>
  </si>
  <si>
    <t>4620 руб.</t>
  </si>
  <si>
    <t>163</t>
  </si>
  <si>
    <t>4104686</t>
  </si>
  <si>
    <t>Смесь сухая молокосодержащая "Кремико БС"</t>
  </si>
  <si>
    <t>сухая молокосодержащая смесь , имеет нежно-желтый цвет и легкий ванильный вкус, он не слишком сладкий, что позволяет использовать его практически во всех кондитерских и хлебобулочных изделиях</t>
  </si>
  <si>
    <t>15 кг.</t>
  </si>
  <si>
    <t>5700 руб.</t>
  </si>
  <si>
    <t>Начинки</t>
  </si>
  <si>
    <t>Не термостабильные</t>
  </si>
  <si>
    <t>Пуратос/Puratos</t>
  </si>
  <si>
    <t>164</t>
  </si>
  <si>
    <t>4016189</t>
  </si>
  <si>
    <t xml:space="preserve">  Топфил Абрикос 60% </t>
  </si>
  <si>
    <t>5,5 кг.</t>
  </si>
  <si>
    <t>2220 руб.</t>
  </si>
  <si>
    <t>165</t>
  </si>
  <si>
    <t>4104650</t>
  </si>
  <si>
    <t>Дели Ирис</t>
  </si>
  <si>
    <t>Пуратос/Puratos</t>
  </si>
  <si>
    <t>кремообразная начинка коричневого цвета со вкусом карамели и ириса</t>
  </si>
  <si>
    <t>13 кг.</t>
  </si>
  <si>
    <t>3750 руб.</t>
  </si>
  <si>
    <t>166</t>
  </si>
  <si>
    <t>4104651</t>
  </si>
  <si>
    <t>Дели Йогурт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</si>
  <si>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</t>
  </si>
  <si>
    <t>13 кг.</t>
  </si>
  <si>
    <t>3310 руб.</t>
  </si>
  <si>
    <t>167</t>
  </si>
  <si>
    <t>4019902</t>
  </si>
  <si>
    <t>Дели Кокос</t>
  </si>
  <si>
    <t>Пуратос/Puratos</t>
  </si>
  <si>
    <t>5 кг.</t>
  </si>
  <si>
    <t>1800 руб.</t>
  </si>
  <si>
    <t>168</t>
  </si>
  <si>
    <t>4008483</t>
  </si>
  <si>
    <t>Дели Кофе</t>
  </si>
  <si>
    <t>13 кг.</t>
  </si>
  <si>
    <t>3830 руб.</t>
  </si>
  <si>
    <t>169</t>
  </si>
  <si>
    <t>4003506</t>
  </si>
  <si>
    <t>Дели Лимон</t>
  </si>
  <si>
    <t>13 кг.</t>
  </si>
  <si>
    <t>3800 руб.</t>
  </si>
  <si>
    <t>170</t>
  </si>
  <si>
    <t>4008965</t>
  </si>
  <si>
    <t>Дели Мак</t>
  </si>
  <si>
    <t>13 кг.</t>
  </si>
  <si>
    <t>5130 руб.</t>
  </si>
  <si>
    <t>171</t>
  </si>
  <si>
    <t>4009262</t>
  </si>
  <si>
    <t>Дели Марципан</t>
  </si>
  <si>
    <t>13 кг.</t>
  </si>
  <si>
    <t>3830 руб.</t>
  </si>
  <si>
    <t>172</t>
  </si>
  <si>
    <t>Дели Соленая карамель</t>
  </si>
  <si>
    <t>Пуратос/Puratos</t>
  </si>
  <si>
    <t>сироп глюкозный, вода питьевая, сахар, молоко цельное сгущенное вареное с сахаром (молоко нормализованное, сахар), масло растительное пальмовое, загустители (E1442, Е466, Е440, Е412), соль, краситель (Е150с), ароматизаторы, карамелизованный жженый сахар, консервант - сорбат калия, регуляторы кислотности (кислота молочная, цитраты кальция), эмульгатор (Е435).</t>
  </si>
  <si>
    <t>13 кг.</t>
  </si>
  <si>
    <t>3910 руб.</t>
  </si>
  <si>
    <t>173</t>
  </si>
  <si>
    <t>4004994</t>
  </si>
  <si>
    <t>Дели Творожный сыр</t>
  </si>
  <si>
    <t>5 кг.</t>
  </si>
  <si>
    <t>1970 руб.</t>
  </si>
  <si>
    <t>174</t>
  </si>
  <si>
    <t>4104680</t>
  </si>
  <si>
    <t>Начинка Колдфил ванильный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</si>
  <si>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</si>
  <si>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</si>
  <si>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2370 руб.</t>
  </si>
  <si>
    <t>175</t>
  </si>
  <si>
    <t>4104681</t>
  </si>
  <si>
    <t>Начинка Колдфил какао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</si>
  <si>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</si>
  <si>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</si>
  <si>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2600 руб.</t>
  </si>
  <si>
    <t>176</t>
  </si>
  <si>
    <t>4104682</t>
  </si>
  <si>
    <t>Начинка Колдфил карамельный</t>
  </si>
  <si>
    <t>Пуратос/Puratos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</si>
  <si>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</si>
  <si>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</si>
  <si>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2540 руб.</t>
  </si>
  <si>
    <t>177</t>
  </si>
  <si>
    <t>4013182</t>
  </si>
  <si>
    <t xml:space="preserve">Топфил  Вишня 80% </t>
  </si>
  <si>
    <t>5,5 кг.</t>
  </si>
  <si>
    <t>4550 руб.</t>
  </si>
  <si>
    <t>178</t>
  </si>
  <si>
    <t>4013501</t>
  </si>
  <si>
    <t xml:space="preserve">Топфил Груша 60% </t>
  </si>
  <si>
    <t>5,5 кг.</t>
  </si>
  <si>
    <t>2430 руб.</t>
  </si>
  <si>
    <t>179</t>
  </si>
  <si>
    <t>4015773</t>
  </si>
  <si>
    <t>Топфил Клубника 60%</t>
  </si>
  <si>
    <t>5,5 кг.</t>
  </si>
  <si>
    <t>2280 руб.</t>
  </si>
  <si>
    <t>180</t>
  </si>
  <si>
    <t>4013502</t>
  </si>
  <si>
    <t xml:space="preserve">Топфил Манго 60% </t>
  </si>
  <si>
    <t>5,5 кг.</t>
  </si>
  <si>
    <t>2760 руб.</t>
  </si>
  <si>
    <t>181</t>
  </si>
  <si>
    <t>4014083</t>
  </si>
  <si>
    <t xml:space="preserve">Топфил Слива 60% </t>
  </si>
  <si>
    <t>5,5 кг.</t>
  </si>
  <si>
    <t>2060 руб.</t>
  </si>
  <si>
    <t>182</t>
  </si>
  <si>
    <t>4012920</t>
  </si>
  <si>
    <t xml:space="preserve">Топфил Яблоко 60% </t>
  </si>
  <si>
    <t>Пуратос/Puratos</t>
  </si>
  <si>
    <t>5,5 кг.</t>
  </si>
  <si>
    <t>2100 руб.</t>
  </si>
  <si>
    <t>Термостабильные</t>
  </si>
  <si>
    <t>Пуратос/Puratos</t>
  </si>
  <si>
    <t>183</t>
  </si>
  <si>
    <t>4002721</t>
  </si>
  <si>
    <t>Дели Чизкейк</t>
  </si>
  <si>
    <t>Пуратос/Puratos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</si>
  <si>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 и  ароматом сливочного сыра.</t>
  </si>
  <si>
    <t>5 кг.</t>
  </si>
  <si>
    <t>3050 руб.</t>
  </si>
  <si>
    <t>184</t>
  </si>
  <si>
    <t>4104696</t>
  </si>
  <si>
    <t>Кремфил вареная сгущенка Д</t>
  </si>
  <si>
    <t>однородная глянцевая масса, медленно растекающаяся на горизонтальной поверхности, коричневого цвета, обладающая сладким вкусом и сливочно-молочным ароматом.</t>
  </si>
  <si>
    <t>13 кг.</t>
  </si>
  <si>
    <t>3112 руб.</t>
  </si>
  <si>
    <t>185</t>
  </si>
  <si>
    <t>4104698</t>
  </si>
  <si>
    <t>Кремфил йогуртовая</t>
  </si>
  <si>
    <t>13 кг.</t>
  </si>
  <si>
    <t>2880 руб.</t>
  </si>
  <si>
    <t>186</t>
  </si>
  <si>
    <t>4104705</t>
  </si>
  <si>
    <t xml:space="preserve">Кремфил какао </t>
  </si>
  <si>
    <t>13 кг.</t>
  </si>
  <si>
    <t>2900 руб.</t>
  </si>
  <si>
    <t>187</t>
  </si>
  <si>
    <t>4104713</t>
  </si>
  <si>
    <t>Кремфил карамельная</t>
  </si>
  <si>
    <t>13 кг.</t>
  </si>
  <si>
    <t>2930 руб.</t>
  </si>
  <si>
    <t>188</t>
  </si>
  <si>
    <t>4006317</t>
  </si>
  <si>
    <t xml:space="preserve">Кремфил кокос </t>
  </si>
  <si>
    <t>13 кг.</t>
  </si>
  <si>
    <t>2760 руб.</t>
  </si>
  <si>
    <t>189</t>
  </si>
  <si>
    <t>4104725</t>
  </si>
  <si>
    <t xml:space="preserve">Кремфил лимон </t>
  </si>
  <si>
    <t>13 кг.</t>
  </si>
  <si>
    <t>2660 руб.</t>
  </si>
  <si>
    <t>190</t>
  </si>
  <si>
    <t>4104692</t>
  </si>
  <si>
    <t>Кремфил с ароматом ванили</t>
  </si>
  <si>
    <t>13 кг.</t>
  </si>
  <si>
    <t>2700 руб.</t>
  </si>
  <si>
    <t>191</t>
  </si>
  <si>
    <t>4003711</t>
  </si>
  <si>
    <t>Кремфил с творожным вкусом (без крупинок)</t>
  </si>
  <si>
    <t>13 кг.</t>
  </si>
  <si>
    <t>2720 руб.</t>
  </si>
  <si>
    <t>192</t>
  </si>
  <si>
    <t>4104727</t>
  </si>
  <si>
    <t xml:space="preserve">Кремфил сливочно-ванильный 202  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</si>
  <si>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</si>
  <si>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</si>
  <si>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3446 руб.</t>
  </si>
  <si>
    <t>193</t>
  </si>
  <si>
    <t>4104734</t>
  </si>
  <si>
    <t xml:space="preserve">Кремфил сливочный </t>
  </si>
  <si>
    <t>13 кг.</t>
  </si>
  <si>
    <t>2780 руб.</t>
  </si>
  <si>
    <t>194</t>
  </si>
  <si>
    <t>4104689</t>
  </si>
  <si>
    <t>Кремфил со вкусом банана</t>
  </si>
  <si>
    <t>однородная глянцевая масса, не растекающаяся на горизонтальной поверхности, светложелтого цвета, обладающая сладким вкусом и ароматом банана.</t>
  </si>
  <si>
    <t>13 кг.</t>
  </si>
  <si>
    <t>2750 руб.</t>
  </si>
  <si>
    <t>195</t>
  </si>
  <si>
    <t>4104714</t>
  </si>
  <si>
    <t>Кремфил со вкусом кленового сиропа</t>
  </si>
  <si>
    <t>Пуратос/Puratos</t>
  </si>
  <si>
    <t>13 кг.</t>
  </si>
  <si>
    <t>2960 руб.</t>
  </si>
  <si>
    <t>196</t>
  </si>
  <si>
    <t>4104715</t>
  </si>
  <si>
    <t>Кремфил со вкусом клубники</t>
  </si>
  <si>
    <t>13 кг.</t>
  </si>
  <si>
    <t>2780 руб.</t>
  </si>
  <si>
    <t>197</t>
  </si>
  <si>
    <t>4104719</t>
  </si>
  <si>
    <t>Кремфил со вкусом клюквы</t>
  </si>
  <si>
    <t>однородная глянцевая масса, не растекающаяся на горизонтальной поверхности, красного цвета, обладающая кисло-сладким вкусом и ароматом клюквы.</t>
  </si>
  <si>
    <t>13 кг.</t>
  </si>
  <si>
    <t>2741 руб.</t>
  </si>
  <si>
    <t>198</t>
  </si>
  <si>
    <t>4104721</t>
  </si>
  <si>
    <t>Кремфил со вкусом лесных ягод</t>
  </si>
  <si>
    <t>13 кг.</t>
  </si>
  <si>
    <t>2680 руб.</t>
  </si>
  <si>
    <t>199</t>
  </si>
  <si>
    <t>4003618</t>
  </si>
  <si>
    <t>Кремфил со вкусом меда</t>
  </si>
  <si>
    <t>13 кг.</t>
  </si>
  <si>
    <t>2955 руб.</t>
  </si>
  <si>
    <t>200</t>
  </si>
  <si>
    <t>4002632</t>
  </si>
  <si>
    <t>Кремфил со вкусом пломбира</t>
  </si>
  <si>
    <t>однородная глянцевая масса, не растекающаяся на горизонтальной поверхности, белого цвета, обладающая вкусом и ароматом пломбира.</t>
  </si>
  <si>
    <t>13 кг.</t>
  </si>
  <si>
    <t>2940 руб.</t>
  </si>
  <si>
    <t>201</t>
  </si>
  <si>
    <t>4104735</t>
  </si>
  <si>
    <t>Кремфил со вкусом сыра</t>
  </si>
  <si>
    <t>однородная глянцевая масса, не растекающаяся или медленно растекающаяся на горизонтальной поверхности, желтого цвета, обладающая вкусом и ароматом сливочного сыра.</t>
  </si>
  <si>
    <t>13 кг.</t>
  </si>
  <si>
    <t>3580 руб.</t>
  </si>
  <si>
    <t>202</t>
  </si>
  <si>
    <t>4104739</t>
  </si>
  <si>
    <t>Кремфил со вкусом фисташки Д</t>
  </si>
  <si>
    <t>однородная глянцевая масса, медленно растекающаяся на горизонтальной поверхности, фисташкого  цвета, обладающая сладким вкусом.</t>
  </si>
  <si>
    <t>13 кг.</t>
  </si>
  <si>
    <t>3330 руб.</t>
  </si>
  <si>
    <t>203</t>
  </si>
  <si>
    <t>4104753</t>
  </si>
  <si>
    <t xml:space="preserve">Кремфил со вкусом яблока и корицы </t>
  </si>
  <si>
    <t>однородная глянцевая масса, не растекающаяся на горизонтальной поверхности, желто-коричневого цвета, обладающая кисло-сладким вкусом и ароматом яблока с корицей.</t>
  </si>
  <si>
    <t>13 кг.</t>
  </si>
  <si>
    <t>2720 руб.</t>
  </si>
  <si>
    <t>204</t>
  </si>
  <si>
    <t>4104740</t>
  </si>
  <si>
    <t>Кремфил цитрон (начинка со вкусом лимона)</t>
  </si>
  <si>
    <t>Пуратос/Puratos</t>
  </si>
  <si>
    <t>13 кг.</t>
  </si>
  <si>
    <t>3030 руб.</t>
  </si>
  <si>
    <t>205</t>
  </si>
  <si>
    <t>4005727</t>
  </si>
  <si>
    <t>Кремфил шоколадная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</si>
  <si>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</si>
  <si>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13 кг.</t>
  </si>
  <si>
    <t>3040 руб.</t>
  </si>
  <si>
    <t>206</t>
  </si>
  <si>
    <t>4104744</t>
  </si>
  <si>
    <t xml:space="preserve">Кремфил шоколадный 202                </t>
  </si>
  <si>
    <t>Пуратос/Puratos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</si>
  <si>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</si>
  <si>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13 кг.</t>
  </si>
  <si>
    <t>3490 руб.</t>
  </si>
  <si>
    <t>207</t>
  </si>
  <si>
    <t>4009452</t>
  </si>
  <si>
    <t>Начинка Вивафил Брусника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</si>
  <si>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</si>
  <si>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</si>
  <si>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5180 руб.</t>
  </si>
  <si>
    <t>208</t>
  </si>
  <si>
    <t>4010429</t>
  </si>
  <si>
    <t>Начинка Вивафил Клубника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</si>
  <si>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</si>
  <si>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</si>
  <si>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13 кг.</t>
  </si>
  <si>
    <t>4020 руб.</t>
  </si>
  <si>
    <t>209</t>
  </si>
  <si>
    <t>4013026</t>
  </si>
  <si>
    <t>Начинка Вивафил Лимон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</si>
  <si>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</si>
  <si>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</si>
  <si>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13 кг.</t>
  </si>
  <si>
    <t>3780 руб.</t>
  </si>
  <si>
    <t>210</t>
  </si>
  <si>
    <t>4010428</t>
  </si>
  <si>
    <t>Начинка Вивафил Малина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</si>
  <si>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</si>
  <si>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</si>
  <si>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6370 руб.</t>
  </si>
  <si>
    <t>211</t>
  </si>
  <si>
    <t>4009442</t>
  </si>
  <si>
    <t>Начинка Вивафил Черная Смородина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</si>
  <si>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</si>
  <si>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</si>
  <si>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5670 руб.</t>
  </si>
  <si>
    <t>212</t>
  </si>
  <si>
    <t>4011877</t>
  </si>
  <si>
    <t>Начинка Вивафил Черника- арония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</si>
  <si>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</si>
  <si>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</si>
  <si>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4950 руб.</t>
  </si>
  <si>
    <t>213</t>
  </si>
  <si>
    <t>4003307</t>
  </si>
  <si>
    <t>Начинка Кремфил Нео ваниль</t>
  </si>
  <si>
    <t>однородная глянцевая масса, не растекающаяся на горизонтальной поверхности, обладающая характерным цветом и вкусом.</t>
  </si>
  <si>
    <t>13 кг.</t>
  </si>
  <si>
    <t>2700 руб.</t>
  </si>
  <si>
    <t>214</t>
  </si>
  <si>
    <t>4104722</t>
  </si>
  <si>
    <t>Начинка Кремфил Нео лесной орех</t>
  </si>
  <si>
    <t>13 кг.</t>
  </si>
  <si>
    <t>2650 руб.</t>
  </si>
  <si>
    <t>215</t>
  </si>
  <si>
    <t>4009465</t>
  </si>
  <si>
    <t>Начинка Кремфил Ультим  шоколадно-апельсиновая</t>
  </si>
  <si>
    <t>однородная глянцевая масса, не растекающаяся на горизонтальной поверхности,</t>
  </si>
  <si>
    <t>13 кг.</t>
  </si>
  <si>
    <t>4400 руб.</t>
  </si>
  <si>
    <t>216</t>
  </si>
  <si>
    <t>4104737</t>
  </si>
  <si>
    <t>Начинка Кремфил Ультим ореховая</t>
  </si>
  <si>
    <t>однородная глянцевая масса, не растекающаяся на горизонтальной поверхности,</t>
  </si>
  <si>
    <t>13 кг.</t>
  </si>
  <si>
    <t>5250 руб.</t>
  </si>
  <si>
    <t>217</t>
  </si>
  <si>
    <t>4104743</t>
  </si>
  <si>
    <t>Начинка Кремфил Ультим с темным шоколадом</t>
  </si>
  <si>
    <t>однородная глянцевая масса, не растекающаяся на горизонтальной поверхности,обладающая цветом, вкусом и ароматом шоколада.</t>
  </si>
  <si>
    <t>13 кг.</t>
  </si>
  <si>
    <t>3670 руб.</t>
  </si>
  <si>
    <t>218</t>
  </si>
  <si>
    <t>4005324</t>
  </si>
  <si>
    <t>Фрутфил абрикос</t>
  </si>
  <si>
    <t>13 кг.</t>
  </si>
  <si>
    <t>2600 руб.</t>
  </si>
  <si>
    <t>219</t>
  </si>
  <si>
    <t>4104800</t>
  </si>
  <si>
    <t>Фрутфил абрикос Д</t>
  </si>
  <si>
    <t>однородная глянцевая масса, медленно растекающаяся на горизонтальной поверхности</t>
  </si>
  <si>
    <t>13 кг.</t>
  </si>
  <si>
    <t>3095 руб.</t>
  </si>
  <si>
    <t>220</t>
  </si>
  <si>
    <t>4002025</t>
  </si>
  <si>
    <t>Фрутфил апельсин Д</t>
  </si>
  <si>
    <t>Пуратос/Puratos</t>
  </si>
  <si>
    <t>однородная глянцевая масса, не растекающаяся на горизонтальной поверхности, оранжевого цвета, обладающая вкусом и ароматом апельсина.</t>
  </si>
  <si>
    <t>13 кг.</t>
  </si>
  <si>
    <t>3090 руб.</t>
  </si>
  <si>
    <t>221</t>
  </si>
  <si>
    <t>4005323</t>
  </si>
  <si>
    <t>Фрутфил вишня</t>
  </si>
  <si>
    <t>13 кг.</t>
  </si>
  <si>
    <t>2690 руб.</t>
  </si>
  <si>
    <t>222</t>
  </si>
  <si>
    <t>4008501</t>
  </si>
  <si>
    <t>Фрутфил груша</t>
  </si>
  <si>
    <t>Однородная глянцевая масса, не растекающаяся на горизонтальной поверхности, желтогоцвета, обладающая кисло-сладким вкусом и ароматом груши.</t>
  </si>
  <si>
    <t>13 кг.</t>
  </si>
  <si>
    <t>2525 руб.</t>
  </si>
  <si>
    <t>223</t>
  </si>
  <si>
    <t>4008501</t>
  </si>
  <si>
    <t>Фрутфил груша</t>
  </si>
  <si>
    <t>Однородная глянцевая масса, не растекающаяся на горизонтальной поверхности, желтогоцвета, обладающая кисло-сладким вкусом и ароматом груши.</t>
  </si>
  <si>
    <t>13 кг.</t>
  </si>
  <si>
    <t>2525 руб.</t>
  </si>
  <si>
    <t>224</t>
  </si>
  <si>
    <t>4104929</t>
  </si>
  <si>
    <t xml:space="preserve">Фрутфил лимон Д   </t>
  </si>
  <si>
    <t>Однородная глянцевая масса, не растекающаяся на горизонтальной поверхности, желтого цвета, обладающая вкусом и ароматом лимона.</t>
  </si>
  <si>
    <t>13 кг.</t>
  </si>
  <si>
    <t>2950 руб.</t>
  </si>
  <si>
    <t>225</t>
  </si>
  <si>
    <t>4005325</t>
  </si>
  <si>
    <t>Фрутфил малина</t>
  </si>
  <si>
    <t>13 кг.</t>
  </si>
  <si>
    <t>2640 руб.</t>
  </si>
  <si>
    <t>226</t>
  </si>
  <si>
    <t>4004705</t>
  </si>
  <si>
    <t>Фрутфил малина Д</t>
  </si>
  <si>
    <t>Однородная глянцевая масса, не растекающаяся на горизонтальной поверхности, розоваго  цвета, обладающая вкусом и ароматом малины.</t>
  </si>
  <si>
    <t>13 кг.</t>
  </si>
  <si>
    <t>3700 руб.</t>
  </si>
  <si>
    <t>227</t>
  </si>
  <si>
    <t>4006897</t>
  </si>
  <si>
    <t>Фрутфил манго</t>
  </si>
  <si>
    <t>13 кг.</t>
  </si>
  <si>
    <t>2875 руб.</t>
  </si>
  <si>
    <t>228</t>
  </si>
  <si>
    <t>4104802</t>
  </si>
  <si>
    <t>Фрутфил со вкусом вишня Д</t>
  </si>
  <si>
    <t>однородная глянцевая масса, медленно растекающаяся на горизонтальной поверхности.</t>
  </si>
  <si>
    <t>13 кг.</t>
  </si>
  <si>
    <t>2960 руб.</t>
  </si>
  <si>
    <t>229</t>
  </si>
  <si>
    <t>4003306</t>
  </si>
  <si>
    <t xml:space="preserve">Фрутфил черемуха </t>
  </si>
  <si>
    <t>13 кг.</t>
  </si>
  <si>
    <t>3102 руб.</t>
  </si>
  <si>
    <t>230</t>
  </si>
  <si>
    <t>4104806</t>
  </si>
  <si>
    <t>Фрутфил черная смородина Д</t>
  </si>
  <si>
    <t>однородная глянцевая масса, не растекающаяся на горизонтальной поверхности, обладающая различным вкусом и ароматом.</t>
  </si>
  <si>
    <t>13 кг.</t>
  </si>
  <si>
    <t>3080 руб.</t>
  </si>
  <si>
    <t>231</t>
  </si>
  <si>
    <t>4104807</t>
  </si>
  <si>
    <t>Фрутфил черника Д</t>
  </si>
  <si>
    <t>Пуратос/Puratos</t>
  </si>
  <si>
    <t>однородная глянцевая масса, не растекающаяся на горизонтальной поверхности, обладающая различным вкусом и ароматом.</t>
  </si>
  <si>
    <t>13 кг.</t>
  </si>
  <si>
    <t>3000 руб.</t>
  </si>
  <si>
    <t>232</t>
  </si>
  <si>
    <t>4006486</t>
  </si>
  <si>
    <t>Фрутфил чернослив</t>
  </si>
  <si>
    <t>13 кг.</t>
  </si>
  <si>
    <t>3080 руб.</t>
  </si>
  <si>
    <t>Мастер Мартини</t>
  </si>
  <si>
    <t>233</t>
  </si>
  <si>
    <t>Каравелла  Анте-Форно Хазелнат / Caravella Ante-Forno Hazelnut</t>
  </si>
  <si>
    <t>1 кг.</t>
  </si>
  <si>
    <t>665 руб.</t>
  </si>
  <si>
    <t>13 кг.</t>
  </si>
  <si>
    <t>6345 руб.</t>
  </si>
  <si>
    <t>2 кг.</t>
  </si>
  <si>
    <t>1160 руб.</t>
  </si>
  <si>
    <t>0,5 кг.</t>
  </si>
  <si>
    <t>385 руб.</t>
  </si>
  <si>
    <t>Растительные сливки и кремы</t>
  </si>
  <si>
    <t>Пуратос/Puratos</t>
  </si>
  <si>
    <t>234</t>
  </si>
  <si>
    <t>4104955</t>
  </si>
  <si>
    <t>Амбианте</t>
  </si>
  <si>
    <t>Пуратос/Puratos</t>
  </si>
  <si>
    <t>крем воздушной консистенцией и в меру сладким, не приторным вкусом</t>
  </si>
  <si>
    <t>12 л.</t>
  </si>
  <si>
    <t>3430 руб.</t>
  </si>
  <si>
    <t>235</t>
  </si>
  <si>
    <t>4104635</t>
  </si>
  <si>
    <t>Виппак</t>
  </si>
  <si>
    <t>12 л.</t>
  </si>
  <si>
    <t>3100 руб.</t>
  </si>
  <si>
    <t>236</t>
  </si>
  <si>
    <t>4104831</t>
  </si>
  <si>
    <t>Крем на растительных маслах " Шантипак"</t>
  </si>
  <si>
    <t>крем воздушной консистенцией и в меру сладким, не приторным вкусом.</t>
  </si>
  <si>
    <t>1 л.</t>
  </si>
  <si>
    <t>410 руб.</t>
  </si>
  <si>
    <t>12 л.</t>
  </si>
  <si>
    <t>3235 руб.</t>
  </si>
  <si>
    <t>3 л.</t>
  </si>
  <si>
    <t>1100 руб.</t>
  </si>
  <si>
    <t>237</t>
  </si>
  <si>
    <t>4003005</t>
  </si>
  <si>
    <t>Пассионата</t>
  </si>
  <si>
    <t>текстура растительных сливок Пассионата очень пластичная, однородная и гладкая, что придает сливкам привлекательный внешний вид,кремовый цвет,вкус натуральных молочных сливок.</t>
  </si>
  <si>
    <t>12 л.</t>
  </si>
  <si>
    <t>3310 руб.</t>
  </si>
  <si>
    <t>238</t>
  </si>
  <si>
    <t>4104764</t>
  </si>
  <si>
    <t>Сансет Глейз</t>
  </si>
  <si>
    <t>Пуратос/Puratos</t>
  </si>
  <si>
    <t>12 шт.</t>
  </si>
  <si>
    <t>3570 руб.</t>
  </si>
  <si>
    <t>239</t>
  </si>
  <si>
    <t>4005161</t>
  </si>
  <si>
    <t>Сансет Глейз Нео</t>
  </si>
  <si>
    <t>12 шт.</t>
  </si>
  <si>
    <t>3410 руб.</t>
  </si>
  <si>
    <t>240</t>
  </si>
  <si>
    <t>4104765</t>
  </si>
  <si>
    <t>Сноупак</t>
  </si>
  <si>
    <t>12 л.</t>
  </si>
  <si>
    <t>3125 руб.</t>
  </si>
  <si>
    <t>Мастер Мартини</t>
  </si>
  <si>
    <t>241</t>
  </si>
  <si>
    <t>22082022</t>
  </si>
  <si>
    <t xml:space="preserve">Крем на растительных маслах ДекорАп, Decor Up </t>
  </si>
  <si>
    <t>1 л.</t>
  </si>
  <si>
    <t>360 руб.</t>
  </si>
  <si>
    <t>12 л.</t>
  </si>
  <si>
    <t>3970 руб.</t>
  </si>
  <si>
    <t>3 л.</t>
  </si>
  <si>
    <t>1075 руб.</t>
  </si>
  <si>
    <t>242</t>
  </si>
  <si>
    <t xml:space="preserve">Мастер Гурме  34%/ Master Gourmet </t>
  </si>
  <si>
    <t>вкус и цвет максимально приближены к сливкам животного происхождения</t>
  </si>
  <si>
    <t>1 л.</t>
  </si>
  <si>
    <t>1 л.</t>
  </si>
  <si>
    <t>12 л.</t>
  </si>
  <si>
    <t>3 шт.</t>
  </si>
  <si>
    <t>Сахарные сиропы</t>
  </si>
  <si>
    <t>Ирка/Irca</t>
  </si>
  <si>
    <t>243</t>
  </si>
  <si>
    <t>310820225</t>
  </si>
  <si>
    <t>Сахар инвертный Levosucrol</t>
  </si>
  <si>
    <t>Irca</t>
  </si>
  <si>
    <t>Внешний вид: вязкая жидкость
Цвет: белый
Вкус: сладкий</t>
  </si>
  <si>
    <t>14 кг.</t>
  </si>
  <si>
    <t>8380 руб.</t>
  </si>
  <si>
    <t>1 кг.</t>
  </si>
  <si>
    <t>820 руб.</t>
  </si>
  <si>
    <t>0,25 кг.</t>
  </si>
  <si>
    <t>310 руб.</t>
  </si>
  <si>
    <t>0,5 кг.</t>
  </si>
  <si>
    <t>505 руб.</t>
  </si>
  <si>
    <t>Laped</t>
  </si>
  <si>
    <t>244</t>
  </si>
  <si>
    <t>310820224</t>
  </si>
  <si>
    <t>Глюкозный сироп 43%</t>
  </si>
  <si>
    <t>Laped</t>
  </si>
  <si>
    <t>Сладкий, прозрачный, бесцветный сироп.</t>
  </si>
  <si>
    <t>1 кг.</t>
  </si>
  <si>
    <t>400 руб.</t>
  </si>
  <si>
    <t>2,5 кг.</t>
  </si>
  <si>
    <t>870 руб.</t>
  </si>
  <si>
    <t>25 кг.</t>
  </si>
  <si>
    <t>8050 руб.</t>
  </si>
  <si>
    <t>Фруктовые пюре</t>
  </si>
  <si>
    <t>Замороженные</t>
  </si>
  <si>
    <t>Ravifruite</t>
  </si>
  <si>
    <t>245</t>
  </si>
  <si>
    <t>143000591</t>
  </si>
  <si>
    <t>Апельсин цедра с/м 0,5 кг</t>
  </si>
  <si>
    <t>1 шт.</t>
  </si>
  <si>
    <t>890 руб.</t>
  </si>
  <si>
    <t>246</t>
  </si>
  <si>
    <t>143000593</t>
  </si>
  <si>
    <t>Лимон цедра с/м 0,5 кг</t>
  </si>
  <si>
    <t>1 шт.</t>
  </si>
  <si>
    <t>770 руб.</t>
  </si>
  <si>
    <t>247</t>
  </si>
  <si>
    <t>135000157</t>
  </si>
  <si>
    <t>Пюре из вишни с/м 10% сахара 1 кг</t>
  </si>
  <si>
    <t>1 шт.</t>
  </si>
  <si>
    <t>1150 руб.</t>
  </si>
  <si>
    <t>248</t>
  </si>
  <si>
    <t>135000153</t>
  </si>
  <si>
    <t>Пюре из клубники с/м 10% сахара 1 кг</t>
  </si>
  <si>
    <t>1 шт.</t>
  </si>
  <si>
    <t>1180 руб.</t>
  </si>
  <si>
    <t>249</t>
  </si>
  <si>
    <t>135000155</t>
  </si>
  <si>
    <t>Пюре из кокосов с/м 10% сахара 1 кг</t>
  </si>
  <si>
    <t>1 кг.</t>
  </si>
  <si>
    <t>1200 руб.</t>
  </si>
  <si>
    <t>250</t>
  </si>
  <si>
    <t>135000152</t>
  </si>
  <si>
    <t>Пюре из малины с/м 10% сахара 1 кг</t>
  </si>
  <si>
    <t>1 шт.</t>
  </si>
  <si>
    <t>1780 руб.</t>
  </si>
  <si>
    <t>251</t>
  </si>
  <si>
    <t>135000150</t>
  </si>
  <si>
    <t>Пюре из манго с/м 10% сахара 1 кг</t>
  </si>
  <si>
    <t>1 шт.</t>
  </si>
  <si>
    <t>1090 руб.</t>
  </si>
  <si>
    <t>252</t>
  </si>
  <si>
    <t>135000151</t>
  </si>
  <si>
    <t>Пюре из маракуйи с/м 10% сахара 1 кг</t>
  </si>
  <si>
    <t>1 шт.</t>
  </si>
  <si>
    <t>1180 руб.</t>
  </si>
  <si>
    <t>253</t>
  </si>
  <si>
    <t>135000154</t>
  </si>
  <si>
    <t>Пюре из черной смородины с/м 10% сахара 1 кг</t>
  </si>
  <si>
    <t>1 шт.</t>
  </si>
  <si>
    <t>1150 руб.</t>
  </si>
  <si>
    <t>Capfruit/Капфрут</t>
  </si>
  <si>
    <t>254</t>
  </si>
  <si>
    <t>12559</t>
  </si>
  <si>
    <t>Пюре личи б/сахара 1 кг</t>
  </si>
  <si>
    <t>Capfruit/Капфрут</t>
  </si>
  <si>
    <t>1 шт.</t>
  </si>
  <si>
    <t>905 руб.</t>
  </si>
  <si>
    <t>Наполнители</t>
  </si>
  <si>
    <t>255</t>
  </si>
  <si>
    <t>51048</t>
  </si>
  <si>
    <t>Гурман Маракуйя 2 кг</t>
  </si>
  <si>
    <t>1 шт.</t>
  </si>
  <si>
    <t>1140 руб.</t>
  </si>
  <si>
    <t>256</t>
  </si>
  <si>
    <t>471956</t>
  </si>
  <si>
    <t>Миллионарес Карамель Соленая</t>
  </si>
  <si>
    <t>Бейклс/Bakels</t>
  </si>
  <si>
    <t>Однородная по всей массе продукта, от вязкой до пастообразной,цвет От светло- коричневого до темно-коричневого,
равномерный по всей массе.</t>
  </si>
  <si>
    <t>1 кг.</t>
  </si>
  <si>
    <t>685 руб.</t>
  </si>
  <si>
    <t>12,5 кг.</t>
  </si>
  <si>
    <t>5985 руб.</t>
  </si>
  <si>
    <t>3 кг.</t>
  </si>
  <si>
    <t>2055 руб.</t>
  </si>
  <si>
    <t>0,3 кг.</t>
  </si>
  <si>
    <t>255 руб.</t>
  </si>
  <si>
    <t>Пралине</t>
  </si>
  <si>
    <t>257</t>
  </si>
  <si>
    <t>PRAMANO-T14</t>
  </si>
  <si>
    <t>Паста миндально-фундучная( пралине)</t>
  </si>
  <si>
    <t>1 кг.</t>
  </si>
  <si>
    <t>1795 руб.</t>
  </si>
  <si>
    <t>0,2 кг.</t>
  </si>
  <si>
    <t>460 руб.</t>
  </si>
  <si>
    <t>5 кг.</t>
  </si>
  <si>
    <t>6845 руб.</t>
  </si>
  <si>
    <t>0,5 кг.</t>
  </si>
  <si>
    <t>995 руб.</t>
  </si>
  <si>
    <t>258</t>
  </si>
  <si>
    <t>230000210</t>
  </si>
  <si>
    <t>Пралине фундучное Praline Noisettes</t>
  </si>
  <si>
    <t>1 кг.</t>
  </si>
  <si>
    <t>1952 руб.</t>
  </si>
  <si>
    <t>0,3 кг.</t>
  </si>
  <si>
    <t>699 руб.</t>
  </si>
  <si>
    <t>5 кг.</t>
  </si>
  <si>
    <t>4725 руб.</t>
  </si>
  <si>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</si>
  <si>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</si>
  <si>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</si>
  <si>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</si>
  <si>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</si>
  <si>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</si>
  <si>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</si>
  <si>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</si>
  <si>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</si>
  <si>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</si>
  <si>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Шоколадное направление</t>
  </si>
  <si>
    <t>Какао продукты</t>
  </si>
  <si>
    <t>Какао</t>
  </si>
  <si>
    <t>Белколад/Belcolade</t>
  </si>
  <si>
    <t>259</t>
  </si>
  <si>
    <t>4101980</t>
  </si>
  <si>
    <t>Какао-порошок Belcolade</t>
  </si>
  <si>
    <t>Алкализованный какао-порошок, 22-24% жирности</t>
  </si>
  <si>
    <t>3 кг</t>
  </si>
  <si>
    <t>3700 руб.</t>
  </si>
  <si>
    <t>1 кг.</t>
  </si>
  <si>
    <t>1330 руб.</t>
  </si>
  <si>
    <t>6 шт.</t>
  </si>
  <si>
    <t>7100 руб.</t>
  </si>
  <si>
    <t>Какао Барри/Cacao Barry</t>
  </si>
  <si>
    <t>260</t>
  </si>
  <si>
    <t>Какао порошок 100% Extra Brute 1 кг</t>
  </si>
  <si>
    <t>1410 руб.</t>
  </si>
  <si>
    <t>Мастер Мартини/Master Martini</t>
  </si>
  <si>
    <t>261</t>
  </si>
  <si>
    <t>260820222</t>
  </si>
  <si>
    <t>Какао-порошок алкализованный Ариба Какао Амаро (22/24)/ Ariba Сacao Amaro</t>
  </si>
  <si>
    <t>Master Martini</t>
  </si>
  <si>
    <t>порошок насыщенного коричневого цвета, мелкий помол.</t>
  </si>
  <si>
    <t>1 кг.</t>
  </si>
  <si>
    <t>1250 руб.</t>
  </si>
  <si>
    <t>6 кг.</t>
  </si>
  <si>
    <t>5500 руб.</t>
  </si>
  <si>
    <t>Какао масло</t>
  </si>
  <si>
    <t>Белколад/Belcolade</t>
  </si>
  <si>
    <t>262</t>
  </si>
  <si>
    <t>4004576</t>
  </si>
  <si>
    <t>Какао-масло</t>
  </si>
  <si>
    <t>8 кг.</t>
  </si>
  <si>
    <t>10400 руб.</t>
  </si>
  <si>
    <t>Каллебаут/Callebaut</t>
  </si>
  <si>
    <t>263</t>
  </si>
  <si>
    <t>NCB-HDO3-654</t>
  </si>
  <si>
    <t xml:space="preserve">Какао-масло в форме дисков Callebaut </t>
  </si>
  <si>
    <t>Каллеты желтоватого цвета,вкус нейтральный.</t>
  </si>
  <si>
    <t>1 кг.</t>
  </si>
  <si>
    <t>1990 руб.</t>
  </si>
  <si>
    <t>0,25 кг.</t>
  </si>
  <si>
    <t>890 руб.</t>
  </si>
  <si>
    <t>3 кг.</t>
  </si>
  <si>
    <t>5150 руб.</t>
  </si>
  <si>
    <t>0,5 кг.</t>
  </si>
  <si>
    <t>1180 руб.</t>
  </si>
  <si>
    <t>Мастер Мартини</t>
  </si>
  <si>
    <t>264</t>
  </si>
  <si>
    <t>260820221</t>
  </si>
  <si>
    <t>Какао-масло дезодорированное Ариба Бурро ди Какао/Ariba Burro di Cacao</t>
  </si>
  <si>
    <t>Master Martini</t>
  </si>
  <si>
    <t>При температуре 16-18 °C масло по консистенции твёрдое и ломкое. Температура плавления — 32-35 °C. При 40 °C масло прозрачное. Цвет — от светло-жёлтого до коричневого. Масло имеет запах какао.</t>
  </si>
  <si>
    <t>1 кг.</t>
  </si>
  <si>
    <t>1300 руб.</t>
  </si>
  <si>
    <t>10 кг.</t>
  </si>
  <si>
    <t>13500 руб.</t>
  </si>
  <si>
    <t>0,2 кг.</t>
  </si>
  <si>
    <t>315 руб.</t>
  </si>
  <si>
    <t>0,5 кг.</t>
  </si>
  <si>
    <t>700 руб.</t>
  </si>
  <si>
    <t>Шоколад</t>
  </si>
  <si>
    <t>Белый шоколад</t>
  </si>
  <si>
    <t>Белколад/Belcolade</t>
  </si>
  <si>
    <t>265</t>
  </si>
  <si>
    <t>4100244</t>
  </si>
  <si>
    <t>Белколад белый Belcolade Бланш Селексьон 31% какао</t>
  </si>
  <si>
    <t>Текучесть: 3 капли.Форма: монеты диаметром 25-27 мм.</t>
  </si>
  <si>
    <t>1 кг.</t>
  </si>
  <si>
    <t>9230 руб.</t>
  </si>
  <si>
    <t>10 кг.</t>
  </si>
  <si>
    <t>9230 руб.</t>
  </si>
  <si>
    <t>5 кг.</t>
  </si>
  <si>
    <t>9230 руб.</t>
  </si>
  <si>
    <t>Мастер Мартини/Master Martini</t>
  </si>
  <si>
    <t>266</t>
  </si>
  <si>
    <t>270820221</t>
  </si>
  <si>
    <t>Белый шоколад " Ariba Bianco Dischi 31% Ариба Бьянко Диски</t>
  </si>
  <si>
    <t>Master Martini</t>
  </si>
  <si>
    <t>текстура: рассыпчатая, текучая четыре капли.</t>
  </si>
  <si>
    <t>1 кг.</t>
  </si>
  <si>
    <t>1250 руб.</t>
  </si>
  <si>
    <t>10 кг.</t>
  </si>
  <si>
    <t>9225 руб.</t>
  </si>
  <si>
    <t>5 кг.</t>
  </si>
  <si>
    <t>5050 руб.</t>
  </si>
  <si>
    <t>Какао Барри/Cacao Barry</t>
  </si>
  <si>
    <t>267</t>
  </si>
  <si>
    <t xml:space="preserve"> CHW-N34ZEPH-2B-U73</t>
  </si>
  <si>
    <t>Шоколад белый  Zephyr 34% какао 1 кг</t>
  </si>
  <si>
    <t>1 кг.</t>
  </si>
  <si>
    <t>268</t>
  </si>
  <si>
    <t>CHW-N34ZEPH-2B-U77</t>
  </si>
  <si>
    <t xml:space="preserve">Шоколад белый Zephyr 34 % какао </t>
  </si>
  <si>
    <t>0 кг.</t>
  </si>
  <si>
    <t>0 кг.</t>
  </si>
  <si>
    <t>Каллебаут/Callebaut</t>
  </si>
  <si>
    <t>269</t>
  </si>
  <si>
    <t>CW2-RT-U71</t>
  </si>
  <si>
    <t>Шоколад белый каллеты 25,9% какао</t>
  </si>
  <si>
    <t>степень текучести - 2 капли</t>
  </si>
  <si>
    <t>1 кг.</t>
  </si>
  <si>
    <t>1400 руб.</t>
  </si>
  <si>
    <t>20 кг.</t>
  </si>
  <si>
    <t>1400 руб.</t>
  </si>
  <si>
    <t>2,5 кг.</t>
  </si>
  <si>
    <t>2900 руб.</t>
  </si>
  <si>
    <t>0,25 кг.</t>
  </si>
  <si>
    <t>350 руб.</t>
  </si>
  <si>
    <t>0,5 кг.</t>
  </si>
  <si>
    <t>1005 руб.</t>
  </si>
  <si>
    <t>270</t>
  </si>
  <si>
    <t>W3-RT-U71</t>
  </si>
  <si>
    <t>Шоколад белый с пониженным содержанием сахара Velvet 32% какао</t>
  </si>
  <si>
    <t>Текучесть 3 капли.Содержание какао-продуктов: мин. 32%Содержание молока: мин. 21.9%Общее содержание жиров: 40.9%</t>
  </si>
  <si>
    <t>1 кг.</t>
  </si>
  <si>
    <t>1500 руб.</t>
  </si>
  <si>
    <t>1 кг.</t>
  </si>
  <si>
    <t>1450 руб.</t>
  </si>
  <si>
    <t>2,5 кг.</t>
  </si>
  <si>
    <t>3335 руб.</t>
  </si>
  <si>
    <t>0,5 кг.</t>
  </si>
  <si>
    <t>1015 руб.</t>
  </si>
  <si>
    <t>20 кг.</t>
  </si>
  <si>
    <t>1450 руб.</t>
  </si>
  <si>
    <t>Сикао/Sicao</t>
  </si>
  <si>
    <t>271</t>
  </si>
  <si>
    <t xml:space="preserve"> CHW-R28-557 </t>
  </si>
  <si>
    <t>Белый шоколад Select 28% какао</t>
  </si>
  <si>
    <t>Сикао/Sicao</t>
  </si>
  <si>
    <t>Шоколад имеет стандартную текучесть (3 капли)</t>
  </si>
  <si>
    <t>1 кг.</t>
  </si>
  <si>
    <t>2060 руб.</t>
  </si>
  <si>
    <t>2,5 кг.</t>
  </si>
  <si>
    <t>2060 руб.</t>
  </si>
  <si>
    <t>0,5 кг.</t>
  </si>
  <si>
    <t>2060 руб.</t>
  </si>
  <si>
    <t>20 кг.</t>
  </si>
  <si>
    <t>2060 руб.</t>
  </si>
  <si>
    <t>272</t>
  </si>
  <si>
    <t xml:space="preserve">CHW-U25-25B </t>
  </si>
  <si>
    <t>Шоколад белый таблетки  27%</t>
  </si>
  <si>
    <t>Сикао/Sicao</t>
  </si>
  <si>
    <t>1 кг.</t>
  </si>
  <si>
    <t>1200 руб.</t>
  </si>
  <si>
    <t>5 кг.</t>
  </si>
  <si>
    <t>3540 руб.</t>
  </si>
  <si>
    <t>Молочный шоколад</t>
  </si>
  <si>
    <t>GLF</t>
  </si>
  <si>
    <t>273</t>
  </si>
  <si>
    <t>Молочный шоколад Sahara Latte Dischi/ Сахара латте в дисках</t>
  </si>
  <si>
    <t>GLF</t>
  </si>
  <si>
    <t>1 кг.</t>
  </si>
  <si>
    <t>980 руб.</t>
  </si>
  <si>
    <t>10 кг.</t>
  </si>
  <si>
    <t>7200 руб.</t>
  </si>
  <si>
    <t>5 кг.</t>
  </si>
  <si>
    <t>3870 руб.</t>
  </si>
  <si>
    <t>Белколад/Belcolade</t>
  </si>
  <si>
    <t>274</t>
  </si>
  <si>
    <t>4006036</t>
  </si>
  <si>
    <t>Молочная коллекция Венесуэла  43%</t>
  </si>
  <si>
    <t>8 кг.</t>
  </si>
  <si>
    <t>8450 руб.</t>
  </si>
  <si>
    <t>275</t>
  </si>
  <si>
    <t>4102211</t>
  </si>
  <si>
    <t>Молочный шоколад на мальтитоле в блоках 5х5 кг</t>
  </si>
  <si>
    <t>25 кг.</t>
  </si>
  <si>
    <t>24650 руб.</t>
  </si>
  <si>
    <t>276</t>
  </si>
  <si>
    <t>4001648</t>
  </si>
  <si>
    <t>Шоколад молочный Belcolade Ле Селексьон 35% какао</t>
  </si>
  <si>
    <t>Каллеты с содержанием 35% масла какао,текучесть 4 капли.</t>
  </si>
  <si>
    <t>15 кг.</t>
  </si>
  <si>
    <t>12790 руб.</t>
  </si>
  <si>
    <t>1 кг.</t>
  </si>
  <si>
    <t>1150 руб.</t>
  </si>
  <si>
    <t>5 кг.</t>
  </si>
  <si>
    <t>4480 руб.</t>
  </si>
  <si>
    <t>Мастер Мартини/Master Martini</t>
  </si>
  <si>
    <t>277</t>
  </si>
  <si>
    <t>300820222МШ</t>
  </si>
  <si>
    <t>Молочный шоколад Ariba Latte Dischi 32%/ Ариба Латте Диски</t>
  </si>
  <si>
    <t>Master Martini</t>
  </si>
  <si>
    <t>шоколад молочный в форме дисков.текучесть высокая – 4 капли из 5.</t>
  </si>
  <si>
    <t>10 кг.</t>
  </si>
  <si>
    <t>от 1 шт. до 1 шт. 8000  руб.
от 2 шт. до 4 шт. 7900  руб.
от 5 шт. 7800  руб.</t>
  </si>
  <si>
    <t>1 кг.</t>
  </si>
  <si>
    <t>1200 руб.</t>
  </si>
  <si>
    <t>5 кг.</t>
  </si>
  <si>
    <t>4300 руб.</t>
  </si>
  <si>
    <t>Какао Барри/Cacao Barry</t>
  </si>
  <si>
    <t>278</t>
  </si>
  <si>
    <t>CHM-O38LSUP-RT-U72</t>
  </si>
  <si>
    <t>Шоколад молочный ( кувертюр) Lactee Superieure 38,2% какао</t>
  </si>
  <si>
    <t>Степень текучести: 4 из 5
Шелковый, душистый, тающий - выигрышное сочетание вкусов и текстуры.</t>
  </si>
  <si>
    <t>1 кг.</t>
  </si>
  <si>
    <t>1740 руб.</t>
  </si>
  <si>
    <t>5 кг.</t>
  </si>
  <si>
    <t>7560 руб.</t>
  </si>
  <si>
    <t>0,5 кг.</t>
  </si>
  <si>
    <t>950 руб.</t>
  </si>
  <si>
    <t>Каллебаут/Callebaut</t>
  </si>
  <si>
    <t>279</t>
  </si>
  <si>
    <t>823-RT-U71</t>
  </si>
  <si>
    <t>Шоколад молочный каллеты 33,6% какао</t>
  </si>
  <si>
    <t>Текучесть 3 капли</t>
  </si>
  <si>
    <t>1 кг.</t>
  </si>
  <si>
    <t>1400 руб.</t>
  </si>
  <si>
    <t>2,5 кг.</t>
  </si>
  <si>
    <t>2760 руб.</t>
  </si>
  <si>
    <t>0,5 кг.</t>
  </si>
  <si>
    <t>1400 руб.</t>
  </si>
  <si>
    <t>20 кг.</t>
  </si>
  <si>
    <t>1400 руб.</t>
  </si>
  <si>
    <t>Сикао/Sicao</t>
  </si>
  <si>
    <t>280</t>
  </si>
  <si>
    <t>CHM-DR-11929RU-R10</t>
  </si>
  <si>
    <t>Шоколад молочный 33% какао</t>
  </si>
  <si>
    <t>Сикао/Sicao</t>
  </si>
  <si>
    <t>Приятный вкус и аромат, доступная цена и стандартная текучесть (3 капли из 5) делают его популярным не только среди любителей хорошего шоколада, но и среди кондитеров.</t>
  </si>
  <si>
    <t>0,25 кг.</t>
  </si>
  <si>
    <t>190 руб.</t>
  </si>
  <si>
    <t>0,5 кг.</t>
  </si>
  <si>
    <t>340 руб.</t>
  </si>
  <si>
    <t>1 кг.</t>
  </si>
  <si>
    <t>1100 руб.</t>
  </si>
  <si>
    <t>20 кг.</t>
  </si>
  <si>
    <t>1100 руб.</t>
  </si>
  <si>
    <t>5 кг.</t>
  </si>
  <si>
    <t>3380 руб.</t>
  </si>
  <si>
    <t>Тёмный шоколад</t>
  </si>
  <si>
    <t>Белколад/Belcolade</t>
  </si>
  <si>
    <t>281</t>
  </si>
  <si>
    <t>4006061</t>
  </si>
  <si>
    <t>Белколад Ориджин Перу 64%</t>
  </si>
  <si>
    <t>1 кг.</t>
  </si>
  <si>
    <t>1400 руб.</t>
  </si>
  <si>
    <t>8 кг.</t>
  </si>
  <si>
    <t>9000 руб.</t>
  </si>
  <si>
    <t>282</t>
  </si>
  <si>
    <t>4100242</t>
  </si>
  <si>
    <t>Белколад темный Нуар Селексьон 55 % какао в таблетках</t>
  </si>
  <si>
    <t>Текучесть: 3 капли.</t>
  </si>
  <si>
    <t>10 кг.</t>
  </si>
  <si>
    <t>9200 руб.</t>
  </si>
  <si>
    <t>1 кг.</t>
  </si>
  <si>
    <t>1250 руб.</t>
  </si>
  <si>
    <t>5 кг.</t>
  </si>
  <si>
    <t>4850 руб.</t>
  </si>
  <si>
    <t>283</t>
  </si>
  <si>
    <t>4001620</t>
  </si>
  <si>
    <t>Белколад черный Нуар Суприм 70% какао</t>
  </si>
  <si>
    <t>1 кг.</t>
  </si>
  <si>
    <t>1200 руб.</t>
  </si>
  <si>
    <t>15 кг.</t>
  </si>
  <si>
    <t>12350 руб.</t>
  </si>
  <si>
    <t>5 кг.</t>
  </si>
  <si>
    <t>4390 руб.</t>
  </si>
  <si>
    <t>Мастер Мартини/Master Martini</t>
  </si>
  <si>
    <t>284</t>
  </si>
  <si>
    <t xml:space="preserve">Горький шоколад Ариба Фонденте Диски 60% (35/37/ Ariba Fondente Dischi </t>
  </si>
  <si>
    <t>темный шоколад,в форме дисков,рассыпчатой текстурой, текучесть высокая – четыре капли.</t>
  </si>
  <si>
    <t>1 кг.</t>
  </si>
  <si>
    <t>870 руб.</t>
  </si>
  <si>
    <t>10 кг.</t>
  </si>
  <si>
    <t>7690 руб.</t>
  </si>
  <si>
    <t>5 кг.</t>
  </si>
  <si>
    <t>4100 руб.</t>
  </si>
  <si>
    <t>285</t>
  </si>
  <si>
    <t>300820221ГШ</t>
  </si>
  <si>
    <t xml:space="preserve">Горький шоколад Ариба Фонденте Диски 72% (38/40)/Ariba Fondente Dischi </t>
  </si>
  <si>
    <t>Master Martini</t>
  </si>
  <si>
    <t>10 кг.</t>
  </si>
  <si>
    <t>9530 руб.</t>
  </si>
  <si>
    <t>1 кг.</t>
  </si>
  <si>
    <t>1300 руб.</t>
  </si>
  <si>
    <t>5 кг.</t>
  </si>
  <si>
    <t>5300 руб.</t>
  </si>
  <si>
    <t>286</t>
  </si>
  <si>
    <t>280820221</t>
  </si>
  <si>
    <t xml:space="preserve">Темный шоколад Ариба Фонденте Диски Темные 54% (32/34) /Ariba Fondente Dischi </t>
  </si>
  <si>
    <t>Master Martini</t>
  </si>
  <si>
    <t>диаметр дисков - 15 мм,шоколад обладает повышенной вязкостью болеее 2800 mPax и высокой текучестью, со вкусом средней интенсивности.</t>
  </si>
  <si>
    <t>1 кг.</t>
  </si>
  <si>
    <t>1250 руб.</t>
  </si>
  <si>
    <t>10 кг.</t>
  </si>
  <si>
    <t>8300 руб.</t>
  </si>
  <si>
    <t>5 кг.</t>
  </si>
  <si>
    <t>4550 руб.</t>
  </si>
  <si>
    <t>287</t>
  </si>
  <si>
    <t>Темный шоколад Бай Скальетте Фонденти/Bay Scagliette Fondenti</t>
  </si>
  <si>
    <t>Master Martini</t>
  </si>
  <si>
    <t>1 кг.</t>
  </si>
  <si>
    <t>920 руб.</t>
  </si>
  <si>
    <t>10 кг.</t>
  </si>
  <si>
    <t>7700 руб.</t>
  </si>
  <si>
    <t>20 кг.</t>
  </si>
  <si>
    <t>10310 руб.</t>
  </si>
  <si>
    <t>5 кг.</t>
  </si>
  <si>
    <t>4170 руб.</t>
  </si>
  <si>
    <t>0,5 кг.</t>
  </si>
  <si>
    <t>540 руб.</t>
  </si>
  <si>
    <t>Каллебаут/Callebaut</t>
  </si>
  <si>
    <t>288</t>
  </si>
  <si>
    <t>70-30-38-RT-U71</t>
  </si>
  <si>
    <t>Темный шоколад каллеты 70,5 %  какао</t>
  </si>
  <si>
    <t>Текучесть3 капли</t>
  </si>
  <si>
    <t>1 кг.</t>
  </si>
  <si>
    <t>1450 руб.</t>
  </si>
  <si>
    <t>2,5 кг.</t>
  </si>
  <si>
    <t>2930 руб.</t>
  </si>
  <si>
    <t>0,5 кг.</t>
  </si>
  <si>
    <t>1015 руб.</t>
  </si>
  <si>
    <t>20 кг.</t>
  </si>
  <si>
    <t>1450 руб.</t>
  </si>
  <si>
    <t>289</t>
  </si>
  <si>
    <t>811-RT-U71</t>
  </si>
  <si>
    <t>Шоколад темный каллеты 54,5% какао</t>
  </si>
  <si>
    <t>Текучесть  3 капли.</t>
  </si>
  <si>
    <t>1 кг.</t>
  </si>
  <si>
    <t>1400 руб.</t>
  </si>
  <si>
    <t>2,5 кг.</t>
  </si>
  <si>
    <t>2650 руб.</t>
  </si>
  <si>
    <t>0,5 кг.</t>
  </si>
  <si>
    <t>895 руб.</t>
  </si>
  <si>
    <t>20 кг.</t>
  </si>
  <si>
    <t>1400 руб.</t>
  </si>
  <si>
    <t>Сикао/Sicao</t>
  </si>
  <si>
    <t>290</t>
  </si>
  <si>
    <t>CHD-DR703042RU-R10</t>
  </si>
  <si>
    <t>Шоколад горький 70,1% какао в каллетах</t>
  </si>
  <si>
    <t>Сикао/Sicao</t>
  </si>
  <si>
    <t>1 кг.</t>
  </si>
  <si>
    <t>1150 руб.</t>
  </si>
  <si>
    <t>5 кг.</t>
  </si>
  <si>
    <t>3400 руб.</t>
  </si>
  <si>
    <t>291</t>
  </si>
  <si>
    <t xml:space="preserve"> CHD-DR-11Q11RU-R10</t>
  </si>
  <si>
    <t>Шоколад темный 52,6 % какао</t>
  </si>
  <si>
    <t>Сикао/Sicao</t>
  </si>
  <si>
    <t>шоколад в виде дисков темный  с содержанием какао 53%, содержание какао-масла 34,4%, имеет стандартную текучесть (3 капли)</t>
  </si>
  <si>
    <t>0,25 кг.</t>
  </si>
  <si>
    <t>195 руб.</t>
  </si>
  <si>
    <t>0,5 кг.</t>
  </si>
  <si>
    <t>340 руб.</t>
  </si>
  <si>
    <t>1 кг.</t>
  </si>
  <si>
    <t>1100 руб.</t>
  </si>
  <si>
    <t>20 кг.</t>
  </si>
  <si>
    <t>1100 руб.</t>
  </si>
  <si>
    <t>5 кг.</t>
  </si>
  <si>
    <t>3250 руб.</t>
  </si>
  <si>
    <t>Термостабильный</t>
  </si>
  <si>
    <t>ICAM S.p.a.</t>
  </si>
  <si>
    <t>292</t>
  </si>
  <si>
    <t>71341</t>
  </si>
  <si>
    <t xml:space="preserve"> Кубики шоколадные термостойкие малина </t>
  </si>
  <si>
    <t>ICAM S.p.a</t>
  </si>
  <si>
    <t>1 кг.</t>
  </si>
  <si>
    <t>2625 руб.</t>
  </si>
  <si>
    <t>0,2 кг.</t>
  </si>
  <si>
    <t>615 руб.</t>
  </si>
  <si>
    <t>0,5 кг.</t>
  </si>
  <si>
    <t>1435 руб.</t>
  </si>
  <si>
    <t>293</t>
  </si>
  <si>
    <t>71340.</t>
  </si>
  <si>
    <t>Кубики шоколадные термостойкие фисташка</t>
  </si>
  <si>
    <t>ICAM S.p.a</t>
  </si>
  <si>
    <t>1 кг.</t>
  </si>
  <si>
    <t>2625 руб.</t>
  </si>
  <si>
    <t>0,2 кг.</t>
  </si>
  <si>
    <t>615 руб.</t>
  </si>
  <si>
    <t>0,5 кг.</t>
  </si>
  <si>
    <t>1435 руб.</t>
  </si>
  <si>
    <t>294</t>
  </si>
  <si>
    <t>71342</t>
  </si>
  <si>
    <t>Кубики шоколадные термостойкие черника</t>
  </si>
  <si>
    <t>ICAM S.p.a</t>
  </si>
  <si>
    <t>1 кг.</t>
  </si>
  <si>
    <t>2625 руб.</t>
  </si>
  <si>
    <t>0,2 кг.</t>
  </si>
  <si>
    <t>615 руб.</t>
  </si>
  <si>
    <t>0,5 кг.</t>
  </si>
  <si>
    <t>1435 руб.</t>
  </si>
  <si>
    <t>Мастер Мартини/Master Martini</t>
  </si>
  <si>
    <t>295</t>
  </si>
  <si>
    <t>200920221</t>
  </si>
  <si>
    <t>Bay Fondente Goccini/Бай Фонденте Гоччине 2000</t>
  </si>
  <si>
    <t>Термостабильные капли .Диаметр 4-5 мм. Количество 1 900- 2 100 шт. в 100 г.</t>
  </si>
  <si>
    <t>10 кг.</t>
  </si>
  <si>
    <t>6575 руб.</t>
  </si>
  <si>
    <t>1 кг.</t>
  </si>
  <si>
    <t>795 руб.</t>
  </si>
  <si>
    <t>20 кг.</t>
  </si>
  <si>
    <t>12215 руб.</t>
  </si>
  <si>
    <t>5 кг.</t>
  </si>
  <si>
    <t>3625 руб.</t>
  </si>
  <si>
    <t>0,5 кг.</t>
  </si>
  <si>
    <t>490 руб.</t>
  </si>
  <si>
    <t>296</t>
  </si>
  <si>
    <t>Темный шоколад Бай Чанкс Фонденти/Bay Chunks Fondenti</t>
  </si>
  <si>
    <t>Термостабильный натуральный темный шоколад в виде кусочков размером 8х8х6.</t>
  </si>
  <si>
    <t>1 кг.</t>
  </si>
  <si>
    <t>830 руб.</t>
  </si>
  <si>
    <t>10 кг.</t>
  </si>
  <si>
    <t>6675 руб.</t>
  </si>
  <si>
    <t>20 кг.</t>
  </si>
  <si>
    <t>490 руб.</t>
  </si>
  <si>
    <t>5 кг.</t>
  </si>
  <si>
    <t>3630 руб.</t>
  </si>
  <si>
    <t>0,5 кг.</t>
  </si>
  <si>
    <t>490 руб.</t>
  </si>
  <si>
    <t>Шоколадный декор</t>
  </si>
  <si>
    <t>297</t>
  </si>
  <si>
    <t>CHX-BS-22282E0-07B</t>
  </si>
  <si>
    <t xml:space="preserve">Завитки из темного и белого шоколада  Mona Liza </t>
  </si>
  <si>
    <t>Callebaut</t>
  </si>
  <si>
    <t>1 кг.</t>
  </si>
  <si>
    <t>1415 руб.</t>
  </si>
  <si>
    <t>0,1 кг.</t>
  </si>
  <si>
    <t>240 руб.</t>
  </si>
  <si>
    <t>0,5 кг.</t>
  </si>
  <si>
    <t>765 руб.</t>
  </si>
  <si>
    <t>298</t>
  </si>
  <si>
    <t>CHR-CC-2CRISEO-02B</t>
  </si>
  <si>
    <t xml:space="preserve">Розовые жемчужины из шоколада Руби с хрустящим слоем CRISPEARLS RUBY </t>
  </si>
  <si>
    <t>0,1 кг.</t>
  </si>
  <si>
    <t>265 руб.</t>
  </si>
  <si>
    <t>0 кг.</t>
  </si>
  <si>
    <t>265 руб.</t>
  </si>
  <si>
    <t>0,8 кг.</t>
  </si>
  <si>
    <t>1600 руб.</t>
  </si>
  <si>
    <t>299</t>
  </si>
  <si>
    <t>D48154</t>
  </si>
  <si>
    <t>Украшение шоколадное Кудри карамель</t>
  </si>
  <si>
    <t>Dobla Logistics BVBA</t>
  </si>
  <si>
    <t>Шоколадное украшение из белого шоколада в виде стружки размером ~ 10 мм.
</t>
  </si>
  <si>
    <t>0,2 кг.</t>
  </si>
  <si>
    <t>465 руб.</t>
  </si>
  <si>
    <t>0,5 кг.</t>
  </si>
  <si>
    <t>965 руб.</t>
  </si>
  <si>
    <t>300</t>
  </si>
  <si>
    <t>D48000</t>
  </si>
  <si>
    <t>Украшение шоколадное Кудри клубничные</t>
  </si>
  <si>
    <t>Dobla Logistics BVBA</t>
  </si>
  <si>
    <t>Шоколадное украшение из белого шоколада в виде стружки размером ~ 10 мм.
</t>
  </si>
  <si>
    <t>0,2 кг.</t>
  </si>
  <si>
    <t>600 руб.</t>
  </si>
  <si>
    <t>0,5 кг.</t>
  </si>
  <si>
    <t>1275 руб.</t>
  </si>
  <si>
    <t>301</t>
  </si>
  <si>
    <t>D48162</t>
  </si>
  <si>
    <t xml:space="preserve">Украшение шоколадное Кудри патти-микс </t>
  </si>
  <si>
    <t>Dobla Logistics BVBA</t>
  </si>
  <si>
    <t>0,2 кг.</t>
  </si>
  <si>
    <t>570 руб.</t>
  </si>
  <si>
    <t>0,5 кг.</t>
  </si>
  <si>
    <t>1215 руб.</t>
  </si>
  <si>
    <t>Шоколад с разными вкусами</t>
  </si>
  <si>
    <t>302</t>
  </si>
  <si>
    <t>CHR-R35RB1-E4-U70</t>
  </si>
  <si>
    <t>Шоколад Ruby 47,3 % какао</t>
  </si>
  <si>
    <t>1 кг.</t>
  </si>
  <si>
    <t>1750 руб.</t>
  </si>
  <si>
    <t>2,5 кг.</t>
  </si>
  <si>
    <t>4050 руб.</t>
  </si>
  <si>
    <t>0,25 кг.</t>
  </si>
  <si>
    <t>1100 руб.</t>
  </si>
  <si>
    <t>0,5 кг.</t>
  </si>
  <si>
    <t>1100 руб.</t>
  </si>
  <si>
    <t>303</t>
  </si>
  <si>
    <t>STRAWBERRY-RT-U70</t>
  </si>
  <si>
    <t>Шоколад розовый со вкусом клубники/Strawberry Callets</t>
  </si>
  <si>
    <t>Текучесть 3 капли.</t>
  </si>
  <si>
    <t>1 кг.</t>
  </si>
  <si>
    <t>1800 руб.</t>
  </si>
  <si>
    <t>2,5 кг.</t>
  </si>
  <si>
    <t>3800 руб.</t>
  </si>
  <si>
    <t>10 кг.</t>
  </si>
  <si>
    <t>от 1 шт. до 1 шт. 3900  руб.
от 2 шт. до 4 шт. 3850  руб.
от 5 шт. 3800  руб.</t>
  </si>
  <si>
    <t>0,5 кг.</t>
  </si>
  <si>
    <t>990 руб.</t>
  </si>
  <si>
    <t xml:space="preserve">Шоколадные глазури </t>
  </si>
  <si>
    <t>Мастер Мартини/Master Martini</t>
  </si>
  <si>
    <t>Нетермостабильная глазурь</t>
  </si>
  <si>
    <t>304</t>
  </si>
  <si>
    <t>310820221ГлБ</t>
  </si>
  <si>
    <t>Глазурь Карибе Бьянко Диски/Caribe Bianco Dischi</t>
  </si>
  <si>
    <t>Master Martini</t>
  </si>
  <si>
    <t>10 кг.</t>
  </si>
  <si>
    <t>5350 руб.</t>
  </si>
  <si>
    <t>1 кг.</t>
  </si>
  <si>
    <t>790 руб.</t>
  </si>
  <si>
    <t>20 кг.</t>
  </si>
  <si>
    <t>9591 руб.</t>
  </si>
  <si>
    <t>5 кг.</t>
  </si>
  <si>
    <t>2990 руб.</t>
  </si>
  <si>
    <t>305</t>
  </si>
  <si>
    <t>310820222</t>
  </si>
  <si>
    <t xml:space="preserve">Глазурь Карибе Фонденте Диски/Caribe Fondente Dischi </t>
  </si>
  <si>
    <t>Master Martini</t>
  </si>
  <si>
    <t>10 кг.</t>
  </si>
  <si>
    <t>4990 руб.</t>
  </si>
  <si>
    <t>1 кг.</t>
  </si>
  <si>
    <t>810 руб.</t>
  </si>
  <si>
    <t>20 кг.</t>
  </si>
  <si>
    <t>8600 руб.</t>
  </si>
  <si>
    <t>5 кг.</t>
  </si>
  <si>
    <t>2890 руб.</t>
  </si>
  <si>
    <t>306</t>
  </si>
  <si>
    <t>Чентрамерика Роза Фрагола Диски /Centramerica Rosa Fragola Dischi</t>
  </si>
  <si>
    <t>глазурь в форме дисков вкусом и ароматом клубники.</t>
  </si>
  <si>
    <t>1 кг.</t>
  </si>
  <si>
    <t>835 руб.</t>
  </si>
  <si>
    <t>10 кг.</t>
  </si>
  <si>
    <t>490 руб.</t>
  </si>
  <si>
    <t>0,5 кг.</t>
  </si>
  <si>
    <t>490 руб.</t>
  </si>
  <si>
    <t>Термостабильная глазурь</t>
  </si>
  <si>
    <t>307</t>
  </si>
  <si>
    <t>Карибе Фонденте Гочче 850/Caribe Fondente Goccе 850</t>
  </si>
  <si>
    <t>глазурь в форме капель диаметром 6-8 мм</t>
  </si>
  <si>
    <t>1 кг.</t>
  </si>
  <si>
    <t>10 кг.</t>
  </si>
  <si>
    <t>20 кг.</t>
  </si>
  <si>
    <t>5 кг.</t>
  </si>
  <si>
    <t>0,5 кг.</t>
  </si>
  <si>
    <t>Пуратос/Puratos</t>
  </si>
  <si>
    <t>308</t>
  </si>
  <si>
    <t>4005194</t>
  </si>
  <si>
    <t xml:space="preserve"> Карат Кавер Классик Дарк</t>
  </si>
  <si>
    <t>Однородная (без ощутимых частиц сахара, какао-продуктов, сухих молочных продуктов) масса коричневого цвета, обладающая сладким вкусом и ароматом шоколада</t>
  </si>
  <si>
    <t>15 кг.</t>
  </si>
  <si>
    <t>5520 руб.</t>
  </si>
  <si>
    <t>309</t>
  </si>
  <si>
    <t>4005199</t>
  </si>
  <si>
    <t xml:space="preserve"> Карат Каверлюкс Дарк</t>
  </si>
  <si>
    <t>15 кг.</t>
  </si>
  <si>
    <t>5450 руб.</t>
  </si>
  <si>
    <t>310</t>
  </si>
  <si>
    <t>4015964</t>
  </si>
  <si>
    <t xml:space="preserve">Карат Каверлюкс Вайт </t>
  </si>
  <si>
    <t>15 кг.</t>
  </si>
  <si>
    <t>5900 руб.</t>
  </si>
  <si>
    <t>311</t>
  </si>
  <si>
    <t>4015962</t>
  </si>
  <si>
    <t>Карат Каверлюкс Карамель</t>
  </si>
  <si>
    <t>1 кг.</t>
  </si>
  <si>
    <t>660 руб.</t>
  </si>
  <si>
    <t>15 кг.</t>
  </si>
  <si>
    <t>6200 руб.</t>
  </si>
  <si>
    <t>5 кг.</t>
  </si>
  <si>
    <t>2300 руб.</t>
  </si>
  <si>
    <t>312</t>
  </si>
  <si>
    <t>4005198</t>
  </si>
  <si>
    <t xml:space="preserve">Карат Каверлюкс Милк </t>
  </si>
  <si>
    <t>1 кг.</t>
  </si>
  <si>
    <t>650 руб.</t>
  </si>
  <si>
    <t>15 кг.</t>
  </si>
  <si>
    <t>5500 руб.</t>
  </si>
  <si>
    <t>5 кг.</t>
  </si>
  <si>
    <t>2200 руб.</t>
  </si>
  <si>
    <t>ID элемента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</si>
  <si>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</si>
  <si>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</si>
  <si>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</si>
  <si>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</si>
  <si>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</si>
  <si>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</si>
  <si>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</si>
  <si>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</si>
  <si>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</si>
  <si>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Хлебопекарное направление</t>
  </si>
  <si>
    <t>Агенты для смазки</t>
  </si>
  <si>
    <t>313</t>
  </si>
  <si>
    <t>1320</t>
  </si>
  <si>
    <t>Жидкий маргарин Спринк/Sprink</t>
  </si>
  <si>
    <t>1 шт.</t>
  </si>
  <si>
    <t>665 руб.</t>
  </si>
  <si>
    <t>1 шт.</t>
  </si>
  <si>
    <t>665 руб.</t>
  </si>
  <si>
    <t>6 шт.</t>
  </si>
  <si>
    <t>2660 руб.</t>
  </si>
  <si>
    <t>314</t>
  </si>
  <si>
    <t>130101</t>
  </si>
  <si>
    <t>Жир специального назначения Довидол</t>
  </si>
  <si>
    <t>Вкус и запах, свойственный исходному сырью, без посторонних
привкусов и запахов.
Однородная, текучая
Желтый различных оттенков, равномерный по всей массе</t>
  </si>
  <si>
    <t>10 кг.</t>
  </si>
  <si>
    <t>3445 руб.</t>
  </si>
  <si>
    <t>315</t>
  </si>
  <si>
    <t>130001</t>
  </si>
  <si>
    <t>Жир специального назначения Довидол универсальный</t>
  </si>
  <si>
    <t>Вкус и запах чистый, свойственный исходному сырью, безпосторонних привкусов и запаховОднородная, текучаяЖелтый различных оттенков, равномерный по всей массе</t>
  </si>
  <si>
    <t>10 кг.</t>
  </si>
  <si>
    <t>3480 руб.</t>
  </si>
  <si>
    <t>Маргарин</t>
  </si>
  <si>
    <t>316</t>
  </si>
  <si>
    <t>4002629</t>
  </si>
  <si>
    <t>Маргарин Алоха Пастри 82%</t>
  </si>
  <si>
    <t>10 кг.</t>
  </si>
  <si>
    <t>4480 руб.</t>
  </si>
  <si>
    <t>317</t>
  </si>
  <si>
    <t>4015708</t>
  </si>
  <si>
    <t xml:space="preserve">Миметик 20  </t>
  </si>
  <si>
    <t>10 кг.</t>
  </si>
  <si>
    <t>5520 руб.</t>
  </si>
  <si>
    <t>318</t>
  </si>
  <si>
    <t>4102689</t>
  </si>
  <si>
    <t>Миметик 32</t>
  </si>
  <si>
    <t>10 кг.</t>
  </si>
  <si>
    <t>4740 руб.</t>
  </si>
  <si>
    <t>Мягкие зерна</t>
  </si>
  <si>
    <t>319</t>
  </si>
  <si>
    <t>4008895</t>
  </si>
  <si>
    <t>Пророщенные ферментированные зерна ржи в сиропе</t>
  </si>
  <si>
    <t>Дозировка: 20-50% к  массе муки</t>
  </si>
  <si>
    <t>5 кг.</t>
  </si>
  <si>
    <t>1720 руб.</t>
  </si>
  <si>
    <t>320</t>
  </si>
  <si>
    <t>4016179</t>
  </si>
  <si>
    <t xml:space="preserve">СОФТГРЕЙН ЗЕЛЕНАЯ ГРЕЧКА Гречневая ядрица, проваренная в смеси пшеничной и ржаной заквасок, дозировка 10%-40%, </t>
  </si>
  <si>
    <t>10 кг.</t>
  </si>
  <si>
    <t>1520 руб.</t>
  </si>
  <si>
    <t>321</t>
  </si>
  <si>
    <t>4014263</t>
  </si>
  <si>
    <t>Софтгрейн пророщенная пшеница</t>
  </si>
  <si>
    <t>Дозировка: 10-40% к массе муки</t>
  </si>
  <si>
    <t>5 кг.</t>
  </si>
  <si>
    <t>1470 руб.</t>
  </si>
  <si>
    <t>322</t>
  </si>
  <si>
    <t>4012666</t>
  </si>
  <si>
    <t>Софтгрейн пророщенное зерно CL цельные зерна ржи, обогащенные натуральной закваской</t>
  </si>
  <si>
    <t>Дозировка: 10-40% к массе муки</t>
  </si>
  <si>
    <t>11 кг.</t>
  </si>
  <si>
    <t>2760 руб.</t>
  </si>
  <si>
    <t>5 кг.</t>
  </si>
  <si>
    <t>1530 руб.</t>
  </si>
  <si>
    <t>323</t>
  </si>
  <si>
    <t>4012672</t>
  </si>
  <si>
    <t xml:space="preserve">Софтгрейн чиа </t>
  </si>
  <si>
    <t>цвет темно-коричневый. Вкус и запах, свойственные данному типу зерен и закваски,без посторонних привкусов и запахов, не затхлый, без признаков порчи.</t>
  </si>
  <si>
    <t>5 кг.</t>
  </si>
  <si>
    <t>1820 руб.</t>
  </si>
  <si>
    <t>Натуральные закваски</t>
  </si>
  <si>
    <t>324</t>
  </si>
  <si>
    <t>4012670</t>
  </si>
  <si>
    <t>Балтия заварная заварка для приготовления ржано-пшеничных и ржаных заварных  изделий, дозировка 10%</t>
  </si>
  <si>
    <t>паста темно коричневого  цвета, предназначена для изделий из пшеничной муки, смеси пшеничной и ржаной муки.</t>
  </si>
  <si>
    <t>5 кг.</t>
  </si>
  <si>
    <t>1520 руб.</t>
  </si>
  <si>
    <t>11 кг.</t>
  </si>
  <si>
    <t>2750 руб.</t>
  </si>
  <si>
    <t>325</t>
  </si>
  <si>
    <t>4101016</t>
  </si>
  <si>
    <t xml:space="preserve">О-Тентик Дурум  активный ингредиент для различных видов хлеба (4%)  </t>
  </si>
  <si>
    <t>10 кг.</t>
  </si>
  <si>
    <t>6250 руб.</t>
  </si>
  <si>
    <t>326</t>
  </si>
  <si>
    <t>4100275</t>
  </si>
  <si>
    <t>О-Тентик Ориджин активный ингредиент для различ.видов хлеба 4 %</t>
  </si>
  <si>
    <t>10 кг.</t>
  </si>
  <si>
    <t>5450 руб.</t>
  </si>
  <si>
    <t>327</t>
  </si>
  <si>
    <t>4018368</t>
  </si>
  <si>
    <t>Прима Сервилия натуральная закваска для пшеничных видов хлеба ( 2-4%)</t>
  </si>
  <si>
    <t>10 кг.</t>
  </si>
  <si>
    <t>5400 руб.</t>
  </si>
  <si>
    <t>328</t>
  </si>
  <si>
    <t>4017364</t>
  </si>
  <si>
    <t xml:space="preserve">Сапоре Анджело натуральная закваска для ржаных и ржано-пшеничных видов хлеба (5-12%)    </t>
  </si>
  <si>
    <t>10 кг.</t>
  </si>
  <si>
    <t>2815 руб.</t>
  </si>
  <si>
    <t>329</t>
  </si>
  <si>
    <t>4019395</t>
  </si>
  <si>
    <t>Сапоре Иоланта натуральная закваска для пшеничных и сдобных изделий (</t>
  </si>
  <si>
    <t>10 кг.</t>
  </si>
  <si>
    <t>4650 руб.</t>
  </si>
  <si>
    <t>330</t>
  </si>
  <si>
    <t>4100214</t>
  </si>
  <si>
    <t xml:space="preserve">Сапоре Отелло натуральная ржаная порошкообразная закваска  (1,5-2%) </t>
  </si>
  <si>
    <t>25 кг.</t>
  </si>
  <si>
    <t>19500 руб.</t>
  </si>
  <si>
    <t>331</t>
  </si>
  <si>
    <t>4100279</t>
  </si>
  <si>
    <t xml:space="preserve">Сапоре Риголетто  натуральная закваска для хлебобулочных изделий   (2%)  </t>
  </si>
  <si>
    <t>порошок белого цвета, имеет приятный кисло-сладкий аромат с нотками «хлебной корочки».</t>
  </si>
  <si>
    <t>25 кг.</t>
  </si>
  <si>
    <t>17600 руб.</t>
  </si>
  <si>
    <t>332</t>
  </si>
  <si>
    <t>4100217</t>
  </si>
  <si>
    <t xml:space="preserve">Сапоре Травиата натуральная закваска для пшеничных видов хлеба  (2-3%) </t>
  </si>
  <si>
    <t>10 кг.</t>
  </si>
  <si>
    <t>5125 руб.</t>
  </si>
  <si>
    <t>333</t>
  </si>
  <si>
    <t>4101484</t>
  </si>
  <si>
    <t xml:space="preserve">Сапоре Фиделио натуральная закваска для хлебобулочных изделий   (1-4%)  </t>
  </si>
  <si>
    <t>жидкий продукт кремового цвета</t>
  </si>
  <si>
    <t>10 л.</t>
  </si>
  <si>
    <t>6530 руб.</t>
  </si>
  <si>
    <t>334</t>
  </si>
  <si>
    <t>4017963</t>
  </si>
  <si>
    <t xml:space="preserve">Сапоре Юдифь натуральная закваска для ржаных и ржано-пшеничных видов хлеба (5-12%) </t>
  </si>
  <si>
    <t>Пуратос/Puratos</t>
  </si>
  <si>
    <t>10 кг.</t>
  </si>
  <si>
    <t>2450 руб.</t>
  </si>
  <si>
    <t>Отделка для ХБИ</t>
  </si>
  <si>
    <t>Помадки</t>
  </si>
  <si>
    <t>Ирка/Irca</t>
  </si>
  <si>
    <t>335</t>
  </si>
  <si>
    <t>230000065</t>
  </si>
  <si>
    <t>Помадка сахарная "Fondant"</t>
  </si>
  <si>
    <t>0,5 кг.</t>
  </si>
  <si>
    <t>340 руб.</t>
  </si>
  <si>
    <t>1 кг.</t>
  </si>
  <si>
    <t>545 руб.</t>
  </si>
  <si>
    <t>7 кг.</t>
  </si>
  <si>
    <t>2980 руб.</t>
  </si>
  <si>
    <t>Пуратос/Puratos</t>
  </si>
  <si>
    <t>336</t>
  </si>
  <si>
    <t>4005531</t>
  </si>
  <si>
    <t>Гель Декорфил Апельсин</t>
  </si>
  <si>
    <t>матовый цветной ароматизированный гель.</t>
  </si>
  <si>
    <t>6 кг.</t>
  </si>
  <si>
    <t>1620 руб.</t>
  </si>
  <si>
    <t>337</t>
  </si>
  <si>
    <t>4005529</t>
  </si>
  <si>
    <t>Гель Декорфил клубника</t>
  </si>
  <si>
    <t>6 кг.</t>
  </si>
  <si>
    <t>1620 руб.</t>
  </si>
  <si>
    <t>338</t>
  </si>
  <si>
    <t>4009352</t>
  </si>
  <si>
    <t>Гель Декорфил манго и маракуя</t>
  </si>
  <si>
    <t>однородная глянцевая масса, бесцветная, обладающая сладко-кислым вкусом и ароматом имитируемого продукта.</t>
  </si>
  <si>
    <t>6 кг.</t>
  </si>
  <si>
    <t>1670 руб.</t>
  </si>
  <si>
    <t>339</t>
  </si>
  <si>
    <t>4005536</t>
  </si>
  <si>
    <t>Гель Декорфил Персик</t>
  </si>
  <si>
    <t>Пуратос/Puratos</t>
  </si>
  <si>
    <t>разноцветный гель с ярко выраженным цветом и запахом.</t>
  </si>
  <si>
    <t>6 кг.</t>
  </si>
  <si>
    <t>1620 руб.</t>
  </si>
  <si>
    <t>340</t>
  </si>
  <si>
    <t>4009354</t>
  </si>
  <si>
    <t>Гель Декорфил с ароматом черники со сливками</t>
  </si>
  <si>
    <t>матовый ароматизированный гель</t>
  </si>
  <si>
    <t>6 кг.</t>
  </si>
  <si>
    <t>1670 руб.</t>
  </si>
  <si>
    <t>341</t>
  </si>
  <si>
    <t>4011530</t>
  </si>
  <si>
    <t>Гель Декорфил со вкусом вишни</t>
  </si>
  <si>
    <t>гель матовый со вкусом вишни.</t>
  </si>
  <si>
    <t>6 кг.</t>
  </si>
  <si>
    <t>1670 руб.</t>
  </si>
  <si>
    <t>342</t>
  </si>
  <si>
    <t>4011532</t>
  </si>
  <si>
    <t>Гель Декорфил черная смородина</t>
  </si>
  <si>
    <t>Однородная глянцевая масса, не растекающаяся на горизонтальной поверхности, бесцветная, обладающая сладко-кислым вкусом и ароматом имитируемого продукта.</t>
  </si>
  <si>
    <t>6 кг.</t>
  </si>
  <si>
    <t>1670 руб.</t>
  </si>
  <si>
    <t>343</t>
  </si>
  <si>
    <t>4006342</t>
  </si>
  <si>
    <t>Глазурь  Айсинг малина</t>
  </si>
  <si>
    <t>Пуратос/Puratos</t>
  </si>
  <si>
    <t>12,5 кг.</t>
  </si>
  <si>
    <t>4150 руб.</t>
  </si>
  <si>
    <t>344</t>
  </si>
  <si>
    <t>4006344</t>
  </si>
  <si>
    <t xml:space="preserve">Глазурь Айсинг со вкусом карамели </t>
  </si>
  <si>
    <t>Пуратос/Puratos</t>
  </si>
  <si>
    <t>12,5 кг.</t>
  </si>
  <si>
    <t>4400 руб.</t>
  </si>
  <si>
    <t>345</t>
  </si>
  <si>
    <t>4012636</t>
  </si>
  <si>
    <t xml:space="preserve">Глазурь Фудж Белая </t>
  </si>
  <si>
    <t>8,5 кг.</t>
  </si>
  <si>
    <t>3640 руб.</t>
  </si>
  <si>
    <t>346</t>
  </si>
  <si>
    <t>4015646</t>
  </si>
  <si>
    <t>Глазурь Фудж со вкусом шоколада</t>
  </si>
  <si>
    <t>8,5 кг.</t>
  </si>
  <si>
    <t>3895 руб.</t>
  </si>
  <si>
    <t>347</t>
  </si>
  <si>
    <t>4104610</t>
  </si>
  <si>
    <t>Помадка Айсинг белая</t>
  </si>
  <si>
    <t>Пуратос/Puratos</t>
  </si>
  <si>
    <t>глазурь представляет  собой однородную, непрозрачную пастообразная массу белого цвета, обладающую сладким вкусом и лёгким ароматом ванили.</t>
  </si>
  <si>
    <t>12,5 кг.</t>
  </si>
  <si>
    <t>4350 руб.</t>
  </si>
  <si>
    <t>1 кг.</t>
  </si>
  <si>
    <t>435 руб.</t>
  </si>
  <si>
    <t>0,5 кг.</t>
  </si>
  <si>
    <t>265 руб.</t>
  </si>
  <si>
    <t>348</t>
  </si>
  <si>
    <t>4006343</t>
  </si>
  <si>
    <t>Помадка Айсинг лимон</t>
  </si>
  <si>
    <t>Пуратос/Puratos</t>
  </si>
  <si>
    <t>12,5 кг.</t>
  </si>
  <si>
    <t>4150 руб.</t>
  </si>
  <si>
    <t>349</t>
  </si>
  <si>
    <t>1100852</t>
  </si>
  <si>
    <t xml:space="preserve">Помадка сухая порошкообразная </t>
  </si>
  <si>
    <t>1 кг.</t>
  </si>
  <si>
    <t>540 руб.</t>
  </si>
  <si>
    <t>25 кг.</t>
  </si>
  <si>
    <t>10220 руб.</t>
  </si>
  <si>
    <t>5 кг.</t>
  </si>
  <si>
    <t>2220 руб.</t>
  </si>
  <si>
    <t>0,5 кг.</t>
  </si>
  <si>
    <t>370 руб.</t>
  </si>
  <si>
    <t>Гели.зеркальные глазури</t>
  </si>
  <si>
    <t>Пуратос/Puratos</t>
  </si>
  <si>
    <t>350</t>
  </si>
  <si>
    <t>4003308</t>
  </si>
  <si>
    <t>Глазурь  Армони Руби клубничная</t>
  </si>
  <si>
    <t>Бесцветная прозрачная глазурь.</t>
  </si>
  <si>
    <t>12,5 кг.</t>
  </si>
  <si>
    <t>3350 руб.</t>
  </si>
  <si>
    <t>351</t>
  </si>
  <si>
    <t>4004619</t>
  </si>
  <si>
    <t>Глазурь Армони Айс Глейз белая</t>
  </si>
  <si>
    <t>глазурь белая,блестящая.</t>
  </si>
  <si>
    <t>12,5 кг.</t>
  </si>
  <si>
    <t>3350 руб.</t>
  </si>
  <si>
    <t>352</t>
  </si>
  <si>
    <t>4104620</t>
  </si>
  <si>
    <t>Глазурь Армони Бриант абрикосовая</t>
  </si>
  <si>
    <t>Пуратос/Puratos</t>
  </si>
  <si>
    <t>12,5 кг.</t>
  </si>
  <si>
    <t>3470 руб.</t>
  </si>
  <si>
    <t>353</t>
  </si>
  <si>
    <t>4104621</t>
  </si>
  <si>
    <t>Глазурь Армони Нейтральная</t>
  </si>
  <si>
    <t>Бесцветная прозрачная глазурь.</t>
  </si>
  <si>
    <t>12,5 кг.</t>
  </si>
  <si>
    <t>2770 руб.</t>
  </si>
  <si>
    <t>1 кг.</t>
  </si>
  <si>
    <t>490 руб.</t>
  </si>
  <si>
    <t>0,25 кг.</t>
  </si>
  <si>
    <t>230 руб.</t>
  </si>
  <si>
    <t>354</t>
  </si>
  <si>
    <t>4104632</t>
  </si>
  <si>
    <t>Глазурь Брило  Нейтраль</t>
  </si>
  <si>
    <t>6 кг.</t>
  </si>
  <si>
    <t>1740 руб.</t>
  </si>
  <si>
    <t>355</t>
  </si>
  <si>
    <t>4104626</t>
  </si>
  <si>
    <t>Глазурь Брило Белая</t>
  </si>
  <si>
    <t>Прозрачная цветная блестящая глазурь</t>
  </si>
  <si>
    <t>6 кг.</t>
  </si>
  <si>
    <t>1760 руб.</t>
  </si>
  <si>
    <t>356</t>
  </si>
  <si>
    <t>4104628</t>
  </si>
  <si>
    <t xml:space="preserve">Глазурь Брило Карамельная </t>
  </si>
  <si>
    <t>Пуратос/Puratos</t>
  </si>
  <si>
    <t>6 шт.</t>
  </si>
  <si>
    <t>1760 руб.</t>
  </si>
  <si>
    <t>357</t>
  </si>
  <si>
    <t>4005254</t>
  </si>
  <si>
    <t>Глазурь Брило со вкусом кленового сиропа</t>
  </si>
  <si>
    <t>Пуратос/Puratos</t>
  </si>
  <si>
    <t>Блестящая коричневая с кисло-сладким вкусом и ароматом кленового сиропа, растекающаяся на горизонтальной поверхности</t>
  </si>
  <si>
    <t>6 кг.</t>
  </si>
  <si>
    <t>1870 руб.</t>
  </si>
  <si>
    <t>358</t>
  </si>
  <si>
    <t>4104633</t>
  </si>
  <si>
    <t xml:space="preserve">Глазурь Брило со вкусом клубники    </t>
  </si>
  <si>
    <t>Прозрачная цветная блестящая глазурь</t>
  </si>
  <si>
    <t>6 кг.</t>
  </si>
  <si>
    <t>1760 руб.</t>
  </si>
  <si>
    <t>359</t>
  </si>
  <si>
    <t>4104634</t>
  </si>
  <si>
    <t>Глазурь Брило Темный шоколад</t>
  </si>
  <si>
    <t>Пуратос/Puratos</t>
  </si>
  <si>
    <t>черная шоколадная глазурь</t>
  </si>
  <si>
    <t>6 кг.</t>
  </si>
  <si>
    <t>1820 руб.</t>
  </si>
  <si>
    <t>360</t>
  </si>
  <si>
    <t>4100959</t>
  </si>
  <si>
    <t>Глазурь Мируар Глассаж Нуар</t>
  </si>
  <si>
    <t>Пуратос/Puratos</t>
  </si>
  <si>
    <t>5 кг.</t>
  </si>
  <si>
    <t>3430 руб.</t>
  </si>
  <si>
    <t>361</t>
  </si>
  <si>
    <t>4102443</t>
  </si>
  <si>
    <t>Глазурь Мируар Карамельный</t>
  </si>
  <si>
    <t>Пуратос/Puratos</t>
  </si>
  <si>
    <t>блестящая карамельная глазуь</t>
  </si>
  <si>
    <t>5 кг.</t>
  </si>
  <si>
    <t>3170 руб.</t>
  </si>
  <si>
    <t>362</t>
  </si>
  <si>
    <t>4003515</t>
  </si>
  <si>
    <t xml:space="preserve">Глазурь Мируар Нейтральная с ароматом ванили </t>
  </si>
  <si>
    <t>блестящая нейтральная глазурь</t>
  </si>
  <si>
    <t>5 кг.</t>
  </si>
  <si>
    <t>2980 руб.</t>
  </si>
  <si>
    <t>Посыпки</t>
  </si>
  <si>
    <t>363</t>
  </si>
  <si>
    <t>190920221</t>
  </si>
  <si>
    <t>Взрывная карамель 0,5-4,5 мм</t>
  </si>
  <si>
    <t>Тилтей/Tiltay</t>
  </si>
  <si>
    <t>0,1 кг.</t>
  </si>
  <si>
    <t>660 руб.</t>
  </si>
  <si>
    <t>15 кг.</t>
  </si>
  <si>
    <t>32820 руб.</t>
  </si>
  <si>
    <t>1 кг.</t>
  </si>
  <si>
    <t>2570 руб.</t>
  </si>
  <si>
    <t>0,25 кг.</t>
  </si>
  <si>
    <t>525 руб.</t>
  </si>
  <si>
    <t>0,5 кг.</t>
  </si>
  <si>
    <t>1635 руб.</t>
  </si>
  <si>
    <t>7,5 кг.</t>
  </si>
  <si>
    <t>17895 руб.</t>
  </si>
  <si>
    <t>660 руб.</t>
  </si>
  <si>
    <t>364</t>
  </si>
  <si>
    <t>Взрывная карамель 1-3 мм</t>
  </si>
  <si>
    <t>Tiltay</t>
  </si>
  <si>
    <t>1 кг.</t>
  </si>
  <si>
    <t>2690 руб.</t>
  </si>
  <si>
    <t>0,1 кг.</t>
  </si>
  <si>
    <t>360 руб.</t>
  </si>
  <si>
    <t>15 кг.</t>
  </si>
  <si>
    <t>32820 руб.</t>
  </si>
  <si>
    <t>0,25 кг.</t>
  </si>
  <si>
    <t>2690 руб.</t>
  </si>
  <si>
    <t>0,5 кг.</t>
  </si>
  <si>
    <t>1435 руб.</t>
  </si>
  <si>
    <t>7,5 кг.</t>
  </si>
  <si>
    <t>17895 руб.</t>
  </si>
  <si>
    <t>2690 руб.</t>
  </si>
  <si>
    <t>365</t>
  </si>
  <si>
    <t>9123</t>
  </si>
  <si>
    <t>Посыпка Жемчужный сахар</t>
  </si>
  <si>
    <t>Тартин/Tartine</t>
  </si>
  <si>
    <t>Белые термостабильные гранулы неправильной формы,Не желтеет при высоких температурах.</t>
  </si>
  <si>
    <t>0,25 кг.</t>
  </si>
  <si>
    <t>350 руб.</t>
  </si>
  <si>
    <t>0,5 кг.</t>
  </si>
  <si>
    <t>450 руб.</t>
  </si>
  <si>
    <t>1 кг.</t>
  </si>
  <si>
    <t>750 руб.</t>
  </si>
  <si>
    <t>10 кг.</t>
  </si>
  <si>
    <t>3990 руб.</t>
  </si>
  <si>
    <t>20 кг.</t>
  </si>
  <si>
    <t>7800 руб.</t>
  </si>
  <si>
    <t>5 кг.</t>
  </si>
  <si>
    <t>2950 руб.</t>
  </si>
  <si>
    <t>366</t>
  </si>
  <si>
    <t>Сахарная пудра тонкого помола</t>
  </si>
  <si>
    <t>белый порошок</t>
  </si>
  <si>
    <t>1 кг.</t>
  </si>
  <si>
    <t>180 руб.</t>
  </si>
  <si>
    <t>5 кг.</t>
  </si>
  <si>
    <t>735 руб.</t>
  </si>
  <si>
    <t>367</t>
  </si>
  <si>
    <t>80856</t>
  </si>
  <si>
    <t>Соленая сливочная карамель кусочками 1-3 мм</t>
  </si>
  <si>
    <t>1 кг.</t>
  </si>
  <si>
    <t>2000 руб.</t>
  </si>
  <si>
    <t>15 кг.</t>
  </si>
  <si>
    <t>380 руб.</t>
  </si>
  <si>
    <t>0,15 кг.</t>
  </si>
  <si>
    <t>380 руб.</t>
  </si>
  <si>
    <t>0,25 кг.</t>
  </si>
  <si>
    <t>380 руб.</t>
  </si>
  <si>
    <t>3 кг.</t>
  </si>
  <si>
    <t>5545 руб.</t>
  </si>
  <si>
    <t>0,5 кг.</t>
  </si>
  <si>
    <t>1090 руб.</t>
  </si>
  <si>
    <t>Глазурь для смазки ХБИ</t>
  </si>
  <si>
    <t>368</t>
  </si>
  <si>
    <t>4104764</t>
  </si>
  <si>
    <t>Сансет Глейз</t>
  </si>
  <si>
    <t>Пуратос/Puratos</t>
  </si>
  <si>
    <t>12 шт.</t>
  </si>
  <si>
    <t>3570 руб.</t>
  </si>
  <si>
    <t>Улучшители и консерванты</t>
  </si>
  <si>
    <t>Жидкие улучшители</t>
  </si>
  <si>
    <t>369</t>
  </si>
  <si>
    <t>4008586</t>
  </si>
  <si>
    <t>Пуралик Ржаной фреш  улучшитель для продления свежести ржаного и ржано-пшеничных хлебов (до 1%)</t>
  </si>
  <si>
    <t>жидкость бежево - желтого цвета, допускается наличие легкого мучного осадка. Вкус – солоноватый, аромат - сладковато-солодовый.</t>
  </si>
  <si>
    <t>11 кг.</t>
  </si>
  <si>
    <t>3000 руб.</t>
  </si>
  <si>
    <t>Улучшители для изделий с продленным сроком годности</t>
  </si>
  <si>
    <t>370</t>
  </si>
  <si>
    <t>4006452</t>
  </si>
  <si>
    <t>Улучшитель S500 Лонг Лайф</t>
  </si>
  <si>
    <t>15 кг.</t>
  </si>
  <si>
    <t>4990 руб.</t>
  </si>
  <si>
    <t>371</t>
  </si>
  <si>
    <t>4017302</t>
  </si>
  <si>
    <t>Улучшитель S500 МБ протект</t>
  </si>
  <si>
    <t>10 кг.</t>
  </si>
  <si>
    <t>3400 руб.</t>
  </si>
  <si>
    <t>Улучшители для производства замороженных изделий</t>
  </si>
  <si>
    <t>372</t>
  </si>
  <si>
    <t>4016219</t>
  </si>
  <si>
    <t xml:space="preserve">Дабл Бейк Колор (1-2%)                    </t>
  </si>
  <si>
    <t>10 кг.</t>
  </si>
  <si>
    <t>3240 руб.</t>
  </si>
  <si>
    <t>373</t>
  </si>
  <si>
    <t>4104679</t>
  </si>
  <si>
    <t>Улучшитель Квик Степ</t>
  </si>
  <si>
    <t>15 кг.</t>
  </si>
  <si>
    <t>5510 руб.</t>
  </si>
  <si>
    <t>374</t>
  </si>
  <si>
    <t>4002607</t>
  </si>
  <si>
    <t>Улучшитель Кимо Акти Плюс</t>
  </si>
  <si>
    <t>дозировка: 0,5 - 3% к массе муки</t>
  </si>
  <si>
    <t>10 кг.</t>
  </si>
  <si>
    <t>3620 руб.</t>
  </si>
  <si>
    <t>375</t>
  </si>
  <si>
    <t>4007597</t>
  </si>
  <si>
    <t xml:space="preserve">Улучшитель Кимо М+ </t>
  </si>
  <si>
    <t>дозировка : 1 - 4% к массе муки</t>
  </si>
  <si>
    <t>10 кг.</t>
  </si>
  <si>
    <t>3850 руб.</t>
  </si>
  <si>
    <t>376</t>
  </si>
  <si>
    <t>4104793</t>
  </si>
  <si>
    <t>Улучшитель Тигрис Кимо</t>
  </si>
  <si>
    <t>10 кг.</t>
  </si>
  <si>
    <t>4110 руб.</t>
  </si>
  <si>
    <t>Улучшители для пшеничной муки</t>
  </si>
  <si>
    <t>377</t>
  </si>
  <si>
    <t>4104965</t>
  </si>
  <si>
    <t>S-500 универсальный  улучшитель  нового поколения (0,15-0,3%)</t>
  </si>
  <si>
    <t>Порошок белого цвета с сероватым оттенком, с нейтральным мучным запахом</t>
  </si>
  <si>
    <t>10 кг.</t>
  </si>
  <si>
    <t>3590 руб.</t>
  </si>
  <si>
    <t>378</t>
  </si>
  <si>
    <t>4104605</t>
  </si>
  <si>
    <t>S-5000 универсальный улучшитель для пшеничной муки (до 1%)</t>
  </si>
  <si>
    <t>Порошок белого цвета с желтым оттенком. Запах свойственный данному виду улучшителя, не затхлый, не плесневелый.</t>
  </si>
  <si>
    <t>25 кг.</t>
  </si>
  <si>
    <t>11445 руб.</t>
  </si>
  <si>
    <t>379</t>
  </si>
  <si>
    <t>4019256</t>
  </si>
  <si>
    <t xml:space="preserve">TBC S500 Ржаной </t>
  </si>
  <si>
    <t>10 кг.</t>
  </si>
  <si>
    <t>3950 руб.</t>
  </si>
  <si>
    <t>380</t>
  </si>
  <si>
    <t>4019242</t>
  </si>
  <si>
    <t>ТВС S500 Модуль Солюшн</t>
  </si>
  <si>
    <t>10 кг.</t>
  </si>
  <si>
    <t>3980 руб.</t>
  </si>
  <si>
    <t>381</t>
  </si>
  <si>
    <t>4104653</t>
  </si>
  <si>
    <t>Улучшитель Дунапан (0,1-0,3 %)</t>
  </si>
  <si>
    <t>0,1 – 0,3 % от веса муки</t>
  </si>
  <si>
    <t>25 кг.</t>
  </si>
  <si>
    <t>5120 руб.</t>
  </si>
  <si>
    <t>382</t>
  </si>
  <si>
    <t>4104964</t>
  </si>
  <si>
    <t xml:space="preserve">Улучшитель Дунапан Экстра  (0,15- 0,3 %)      </t>
  </si>
  <si>
    <t>10 кг.</t>
  </si>
  <si>
    <t>2505 руб.</t>
  </si>
  <si>
    <t>Улучшители для сдобных изделий</t>
  </si>
  <si>
    <t>383</t>
  </si>
  <si>
    <t>4104768</t>
  </si>
  <si>
    <t xml:space="preserve">Улучшитель Софтр Голд Новый </t>
  </si>
  <si>
    <t>15 кг.</t>
  </si>
  <si>
    <t>6690 руб.</t>
  </si>
  <si>
    <t>384</t>
  </si>
  <si>
    <t>4012807</t>
  </si>
  <si>
    <t>Улучшитель Софтр Сдоба</t>
  </si>
  <si>
    <t>10 кг.</t>
  </si>
  <si>
    <t>3260 руб.</t>
  </si>
  <si>
    <t>Улучшители для х/б изделий</t>
  </si>
  <si>
    <t>385</t>
  </si>
  <si>
    <t>4019244</t>
  </si>
  <si>
    <t xml:space="preserve"> Улучшитель ТВС Интенс Ржаной Фреш</t>
  </si>
  <si>
    <t>дозировка: 1% к массе муки</t>
  </si>
  <si>
    <t>10 кг.</t>
  </si>
  <si>
    <t>3160 руб.</t>
  </si>
  <si>
    <t>386</t>
  </si>
  <si>
    <t>4104678</t>
  </si>
  <si>
    <t>"Интенс Экстенс ( 0,1-0,5%)</t>
  </si>
  <si>
    <t>10 кг.</t>
  </si>
  <si>
    <t>2850 руб.</t>
  </si>
  <si>
    <t>387</t>
  </si>
  <si>
    <t>4019255</t>
  </si>
  <si>
    <t>ТВС Софтр Интенс Фреш</t>
  </si>
  <si>
    <t>Пуратос/Puratos</t>
  </si>
  <si>
    <t>10 кг.</t>
  </si>
  <si>
    <t>3830 руб.</t>
  </si>
  <si>
    <t>388</t>
  </si>
  <si>
    <t>4104770</t>
  </si>
  <si>
    <t xml:space="preserve">ТВС Улучшитель Софтр Интенс Фреш </t>
  </si>
  <si>
    <t>дозировка: 0,1 - 0,7% к массе муки</t>
  </si>
  <si>
    <t>10 кг.</t>
  </si>
  <si>
    <t>3820 руб.</t>
  </si>
  <si>
    <t>Смеси</t>
  </si>
  <si>
    <t>Для изготовления х/б изделий</t>
  </si>
  <si>
    <t>389</t>
  </si>
  <si>
    <t>4104662</t>
  </si>
  <si>
    <t xml:space="preserve"> Смесь Изи Карелия 15%                    </t>
  </si>
  <si>
    <t>Пуратос/Puratos</t>
  </si>
  <si>
    <t>рекомендуемая дозировка:     15%    к   массе   муки</t>
  </si>
  <si>
    <t>25 кг.</t>
  </si>
  <si>
    <t>6710 руб.</t>
  </si>
  <si>
    <t>390</t>
  </si>
  <si>
    <t>4004902</t>
  </si>
  <si>
    <t xml:space="preserve"> Смесь Изи Круассан 15%</t>
  </si>
  <si>
    <t>дозировка 15% к массе муки.</t>
  </si>
  <si>
    <t>25 кг.</t>
  </si>
  <si>
    <t>8050 руб.</t>
  </si>
  <si>
    <t>391</t>
  </si>
  <si>
    <t>4003521</t>
  </si>
  <si>
    <t xml:space="preserve"> Смесь Изи Пончик  30% </t>
  </si>
  <si>
    <t>15 кг.</t>
  </si>
  <si>
    <t>5610 руб.</t>
  </si>
  <si>
    <t>392</t>
  </si>
  <si>
    <t>4005741</t>
  </si>
  <si>
    <t xml:space="preserve"> Смесь Изи Старт  20%</t>
  </si>
  <si>
    <t>дозировка: до 20% к массе муки</t>
  </si>
  <si>
    <t>15 кг.</t>
  </si>
  <si>
    <t>4530 руб.</t>
  </si>
  <si>
    <t>393</t>
  </si>
  <si>
    <t>4104673</t>
  </si>
  <si>
    <t xml:space="preserve"> Смесь Изи Тост 2-10% </t>
  </si>
  <si>
    <t>дозировка:   10%    к   массе   муки дополнительно.</t>
  </si>
  <si>
    <t>25 кг.</t>
  </si>
  <si>
    <t>6760 руб.</t>
  </si>
  <si>
    <t>394</t>
  </si>
  <si>
    <t>4104761</t>
  </si>
  <si>
    <t xml:space="preserve"> Смесь Пуравита Мульти Плюс 90-100%</t>
  </si>
  <si>
    <t>дозировка: 100 % к массе муки</t>
  </si>
  <si>
    <t>15 кг.</t>
  </si>
  <si>
    <t>4000 руб.</t>
  </si>
  <si>
    <t>395</t>
  </si>
  <si>
    <t>4003524</t>
  </si>
  <si>
    <t xml:space="preserve"> Смесь Пуравита Спайси  5- 25%</t>
  </si>
  <si>
    <t>Пуратос/Puratos</t>
  </si>
  <si>
    <t>дозировка 5 - 25% к массе муки.</t>
  </si>
  <si>
    <t>25 кг.</t>
  </si>
  <si>
    <t>8920 руб.</t>
  </si>
  <si>
    <t>396</t>
  </si>
  <si>
    <t>4104654</t>
  </si>
  <si>
    <t>Изи Берлинер 10%</t>
  </si>
  <si>
    <t>15 кг.</t>
  </si>
  <si>
    <t>5590 руб.</t>
  </si>
  <si>
    <t>397</t>
  </si>
  <si>
    <t>4019883</t>
  </si>
  <si>
    <t>Изи Бриошь Ванилла</t>
  </si>
  <si>
    <t>Пуратос/Puratos</t>
  </si>
  <si>
    <t>15 кг.</t>
  </si>
  <si>
    <t>5500 руб.</t>
  </si>
  <si>
    <t>398</t>
  </si>
  <si>
    <t>4014537</t>
  </si>
  <si>
    <t>Изи Софт Донат 30%</t>
  </si>
  <si>
    <t>15 кг.</t>
  </si>
  <si>
    <t>4810 руб.</t>
  </si>
  <si>
    <t>399</t>
  </si>
  <si>
    <t>4017695</t>
  </si>
  <si>
    <t>Пуравита Файбер 50 %</t>
  </si>
  <si>
    <t>15 кг.</t>
  </si>
  <si>
    <t>4340 руб.</t>
  </si>
  <si>
    <t>400</t>
  </si>
  <si>
    <t>4104657</t>
  </si>
  <si>
    <t>Смесь Изи Бриош 3-5%</t>
  </si>
  <si>
    <t>дозировка: 3 - 5% к массе муки</t>
  </si>
  <si>
    <t>15 кг.</t>
  </si>
  <si>
    <t>7000 руб.</t>
  </si>
  <si>
    <t>401</t>
  </si>
  <si>
    <t>4005664</t>
  </si>
  <si>
    <t>Смесь Изи Картофельный  30%</t>
  </si>
  <si>
    <t>порошок желотоватого цвета, с включениями сушеных овощей.</t>
  </si>
  <si>
    <t>25 кг.</t>
  </si>
  <si>
    <t>7220 руб.</t>
  </si>
  <si>
    <t>402</t>
  </si>
  <si>
    <t>4009350</t>
  </si>
  <si>
    <t>Смесь Изи Премиум Софт 20%</t>
  </si>
  <si>
    <t>дозировка20% к массе муки</t>
  </si>
  <si>
    <t>15 кг.</t>
  </si>
  <si>
    <t>5450 руб.</t>
  </si>
  <si>
    <t>403</t>
  </si>
  <si>
    <t>4104675</t>
  </si>
  <si>
    <t xml:space="preserve">Смесь Изи Чиабатта 10% </t>
  </si>
  <si>
    <t>дозировка:10 % к массе муки</t>
  </si>
  <si>
    <t>10 кг.</t>
  </si>
  <si>
    <t>2750 руб.</t>
  </si>
  <si>
    <t>404</t>
  </si>
  <si>
    <t>4007178</t>
  </si>
  <si>
    <t>Смесь Пуравита Мен 50%</t>
  </si>
  <si>
    <t>дозировка 50% к массе муки.</t>
  </si>
  <si>
    <t>15 кг.</t>
  </si>
  <si>
    <t>5100 руб.</t>
  </si>
  <si>
    <t>405</t>
  </si>
  <si>
    <t>4104760</t>
  </si>
  <si>
    <t>Смесь Пуравита Мульти 30-100%</t>
  </si>
  <si>
    <t>дозировка от 30% - 100% к массе муки</t>
  </si>
  <si>
    <t>10 кг.</t>
  </si>
  <si>
    <t>3510 руб.</t>
  </si>
  <si>
    <t>406</t>
  </si>
  <si>
    <t>4010131</t>
  </si>
  <si>
    <t>Смесь Пуравита фитнес 100%</t>
  </si>
  <si>
    <t>дозировка: 100%</t>
  </si>
  <si>
    <t>15 кг.</t>
  </si>
  <si>
    <t>4700 руб.</t>
  </si>
  <si>
    <t>407</t>
  </si>
  <si>
    <t>4104788</t>
  </si>
  <si>
    <t>Теграл Ринго Новая</t>
  </si>
  <si>
    <t>порошок белого цвета.</t>
  </si>
  <si>
    <t>15 кг.</t>
  </si>
  <si>
    <t>3940 руб.</t>
  </si>
  <si>
    <t>Зерновые хлебопекарные смеси Пуратос/Puratos</t>
  </si>
  <si>
    <t>408</t>
  </si>
  <si>
    <t>4104761</t>
  </si>
  <si>
    <t xml:space="preserve"> Смесь Пуравита Мульти Плюс 90-100%</t>
  </si>
  <si>
    <t>дозировка: 100 % к массе муки</t>
  </si>
  <si>
    <t>15 кг.</t>
  </si>
  <si>
    <t>4000 руб.</t>
  </si>
  <si>
    <t>409</t>
  </si>
  <si>
    <t>4007178</t>
  </si>
  <si>
    <t>Смесь Пуравита Мен 50%</t>
  </si>
  <si>
    <t>дозировка 50% к массе муки.</t>
  </si>
  <si>
    <t>15 кг.</t>
  </si>
  <si>
    <t>5100 руб.</t>
  </si>
  <si>
    <t>410</t>
  </si>
  <si>
    <t>4104760</t>
  </si>
  <si>
    <t>Смесь Пуравита Мульти 30-100%</t>
  </si>
  <si>
    <t>дозировка от 30% - 100% к массе муки</t>
  </si>
  <si>
    <t>10 кг.</t>
  </si>
  <si>
    <t>3510 руб.</t>
  </si>
  <si>
    <t>411</t>
  </si>
  <si>
    <t>4010131</t>
  </si>
  <si>
    <t>Смесь Пуравита фитнес 100%</t>
  </si>
  <si>
    <t>дозировка: 100%</t>
  </si>
  <si>
    <t>15 кг.</t>
  </si>
  <si>
    <t>4700 руб.</t>
  </si>
  <si>
    <t>Смеси для производства пончиков Пуратос/Puratos</t>
  </si>
  <si>
    <t>412</t>
  </si>
  <si>
    <t>4003521</t>
  </si>
  <si>
    <t xml:space="preserve"> Смесь Изи Пончик  30% </t>
  </si>
  <si>
    <t>15 кг.</t>
  </si>
  <si>
    <t>5610 руб.</t>
  </si>
  <si>
    <t>413</t>
  </si>
  <si>
    <t>4104654</t>
  </si>
  <si>
    <t>Изи Берлинер 10%</t>
  </si>
  <si>
    <t>15 кг.</t>
  </si>
  <si>
    <t>5590 руб.</t>
  </si>
  <si>
    <t>414</t>
  </si>
  <si>
    <t>4014537</t>
  </si>
  <si>
    <t>Изи Софт Донат 30%</t>
  </si>
  <si>
    <t>15 кг.</t>
  </si>
  <si>
    <t>4810 руб.</t>
  </si>
  <si>
    <t>415</t>
  </si>
  <si>
    <t>4104788</t>
  </si>
  <si>
    <t>Теграл Ринго Новая</t>
  </si>
  <si>
    <t>порошок белого цвета.</t>
  </si>
  <si>
    <t>15 кг.</t>
  </si>
  <si>
    <t>3940 руб.</t>
  </si>
  <si>
    <t>Смеси для сдобных изделий Пуратос/Puratos</t>
  </si>
  <si>
    <t>416</t>
  </si>
  <si>
    <t>4019883</t>
  </si>
  <si>
    <t>Изи Бриошь Ванилла</t>
  </si>
  <si>
    <t>Пуратос/Puratos</t>
  </si>
  <si>
    <t>15 кг.</t>
  </si>
  <si>
    <t>5500 руб.</t>
  </si>
  <si>
    <t>417</t>
  </si>
  <si>
    <t>4104657</t>
  </si>
  <si>
    <t>Смесь Изи Бриош 3-5%</t>
  </si>
  <si>
    <t>дозировка: 3 - 5% к массе муки</t>
  </si>
  <si>
    <t>15 кг.</t>
  </si>
  <si>
    <t>7000 руб.</t>
  </si>
  <si>
    <t>418</t>
  </si>
  <si>
    <t>4009350</t>
  </si>
  <si>
    <t>Смесь Изи Премиум Софт 20%</t>
  </si>
  <si>
    <t>дозировка20% к массе муки</t>
  </si>
  <si>
    <t>15 кг.</t>
  </si>
  <si>
    <t>5450 руб.</t>
  </si>
  <si>
    <t>Специальные хлебопекарные смеси Пуратос/Puratos</t>
  </si>
  <si>
    <t>419</t>
  </si>
  <si>
    <t>4104662</t>
  </si>
  <si>
    <t xml:space="preserve"> Смесь Изи Карелия 15%                    </t>
  </si>
  <si>
    <t>Пуратос/Puratos</t>
  </si>
  <si>
    <t>рекомендуемая дозировка:     15%    к   массе   муки</t>
  </si>
  <si>
    <t>25 кг.</t>
  </si>
  <si>
    <t>6710 руб.</t>
  </si>
  <si>
    <t>420</t>
  </si>
  <si>
    <t>4004902</t>
  </si>
  <si>
    <t xml:space="preserve"> Смесь Изи Круассан 15%</t>
  </si>
  <si>
    <t>дозировка 15% к массе муки.</t>
  </si>
  <si>
    <t>25 кг.</t>
  </si>
  <si>
    <t>8050 руб.</t>
  </si>
  <si>
    <t>421</t>
  </si>
  <si>
    <t>4005741</t>
  </si>
  <si>
    <t xml:space="preserve"> Смесь Изи Старт  20%</t>
  </si>
  <si>
    <t>дозировка: до 20% к массе муки</t>
  </si>
  <si>
    <t>15 кг.</t>
  </si>
  <si>
    <t>4530 руб.</t>
  </si>
  <si>
    <t>422</t>
  </si>
  <si>
    <t>4104673</t>
  </si>
  <si>
    <t xml:space="preserve"> Смесь Изи Тост 2-10% </t>
  </si>
  <si>
    <t>дозировка:   10%    к   массе   муки дополнительно.</t>
  </si>
  <si>
    <t>25 кг.</t>
  </si>
  <si>
    <t>6760 руб.</t>
  </si>
  <si>
    <t>423</t>
  </si>
  <si>
    <t>4003524</t>
  </si>
  <si>
    <t xml:space="preserve"> Смесь Пуравита Спайси  5- 25%</t>
  </si>
  <si>
    <t>Пуратос/Puratos</t>
  </si>
  <si>
    <t>дозировка 5 - 25% к массе муки.</t>
  </si>
  <si>
    <t>25 кг.</t>
  </si>
  <si>
    <t>8920 руб.</t>
  </si>
  <si>
    <t>424</t>
  </si>
  <si>
    <t>4017695</t>
  </si>
  <si>
    <t>Пуравита Файбер 50 %</t>
  </si>
  <si>
    <t>15 кг.</t>
  </si>
  <si>
    <t>4340 руб.</t>
  </si>
  <si>
    <t>425</t>
  </si>
  <si>
    <t>4005664</t>
  </si>
  <si>
    <t>Смесь Изи Картофельный  30%</t>
  </si>
  <si>
    <t>порошок желотоватого цвета, с включениями сушеных овощей.</t>
  </si>
  <si>
    <t>25 кг.</t>
  </si>
  <si>
    <t>7220 руб.</t>
  </si>
  <si>
    <t>426</t>
  </si>
  <si>
    <t>4104675</t>
  </si>
  <si>
    <t xml:space="preserve">Смесь Изи Чиабатта 10% </t>
  </si>
  <si>
    <t>дозировка:10 % к массе муки</t>
  </si>
  <si>
    <t>10 кг.</t>
  </si>
  <si>
    <t>2750 руб.</t>
  </si>
  <si>
    <t>Для кремов</t>
  </si>
  <si>
    <t>427</t>
  </si>
  <si>
    <t>4016626</t>
  </si>
  <si>
    <t>Кремиаль Ванилла</t>
  </si>
  <si>
    <t>15 кг.</t>
  </si>
  <si>
    <t>5690 руб.</t>
  </si>
  <si>
    <t>428</t>
  </si>
  <si>
    <t>4013666</t>
  </si>
  <si>
    <t>Кремиаль Шеф Чеддер</t>
  </si>
  <si>
    <t>Пуратос/Puratos</t>
  </si>
  <si>
    <t>10 кг.</t>
  </si>
  <si>
    <t>4870 руб.</t>
  </si>
  <si>
    <t>429</t>
  </si>
  <si>
    <t>4104685</t>
  </si>
  <si>
    <t>Кремиголд БС</t>
  </si>
  <si>
    <t>порошок цвета слоновой кости.</t>
  </si>
  <si>
    <t>15 кг.</t>
  </si>
  <si>
    <t>5410 руб.</t>
  </si>
  <si>
    <t>430</t>
  </si>
  <si>
    <t>4104687</t>
  </si>
  <si>
    <t>Кремилайт</t>
  </si>
  <si>
    <t>Пуратос/Puratos</t>
  </si>
  <si>
    <t>15 кг.</t>
  </si>
  <si>
    <t>7250 руб.</t>
  </si>
  <si>
    <t>431</t>
  </si>
  <si>
    <t>4005888</t>
  </si>
  <si>
    <t>Кремилюкс ПБ</t>
  </si>
  <si>
    <t>однородная порошкообразная масса кремового цвета, допускаются неплотно слежавшиеся комочки.Запах свойственный данному виду изделий, не затхлый, не плесневелый.</t>
  </si>
  <si>
    <t>15 кг.</t>
  </si>
  <si>
    <t>5930 руб.</t>
  </si>
  <si>
    <t>432</t>
  </si>
  <si>
    <t>4104756</t>
  </si>
  <si>
    <t>Палома Баваруа</t>
  </si>
  <si>
    <t>порошок белого цвета с легким ванильным запахом, полностью растворимый в воде, образующий прозрачную желеобразную массу.</t>
  </si>
  <si>
    <t>10 кг.</t>
  </si>
  <si>
    <t>6160 руб.</t>
  </si>
  <si>
    <t>433</t>
  </si>
  <si>
    <t>4006009</t>
  </si>
  <si>
    <t>Палома Бланка</t>
  </si>
  <si>
    <t>10 кг.</t>
  </si>
  <si>
    <t>4620 руб.</t>
  </si>
  <si>
    <t>434</t>
  </si>
  <si>
    <t>4104686</t>
  </si>
  <si>
    <t>Смесь сухая молокосодержащая "Кремико БС"</t>
  </si>
  <si>
    <t>сухая молокосодержащая смесь , имеет нежно-желтый цвет и легкий ванильный вкус, он не слишком сладкий, что позволяет использовать его практически во всех кондитерских и хлебобулочных изделиях</t>
  </si>
  <si>
    <t>15 кг.</t>
  </si>
  <si>
    <t>5700 руб.</t>
  </si>
  <si>
    <t>Начинки</t>
  </si>
  <si>
    <t>Не термостабильные</t>
  </si>
  <si>
    <t>Пуратос/Puratos</t>
  </si>
  <si>
    <t>435</t>
  </si>
  <si>
    <t>4016189</t>
  </si>
  <si>
    <t xml:space="preserve">  Топфил Абрикос 60% </t>
  </si>
  <si>
    <t>5,5 кг.</t>
  </si>
  <si>
    <t>2220 руб.</t>
  </si>
  <si>
    <t>436</t>
  </si>
  <si>
    <t>4104650</t>
  </si>
  <si>
    <t>Дели Ирис</t>
  </si>
  <si>
    <t>Пуратос/Puratos</t>
  </si>
  <si>
    <t>кремообразная начинка коричневого цвета со вкусом карамели и ириса</t>
  </si>
  <si>
    <t>13 кг.</t>
  </si>
  <si>
    <t>3750 руб.</t>
  </si>
  <si>
    <t>437</t>
  </si>
  <si>
    <t>4104651</t>
  </si>
  <si>
    <t>Дели Йогурт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</si>
  <si>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</t>
  </si>
  <si>
    <t>13 кг.</t>
  </si>
  <si>
    <t>3310 руб.</t>
  </si>
  <si>
    <t>438</t>
  </si>
  <si>
    <t>4019902</t>
  </si>
  <si>
    <t>Дели Кокос</t>
  </si>
  <si>
    <t>Пуратос/Puratos</t>
  </si>
  <si>
    <t>5 кг.</t>
  </si>
  <si>
    <t>1800 руб.</t>
  </si>
  <si>
    <t>439</t>
  </si>
  <si>
    <t>4008483</t>
  </si>
  <si>
    <t>Дели Кофе</t>
  </si>
  <si>
    <t>13 кг.</t>
  </si>
  <si>
    <t>3830 руб.</t>
  </si>
  <si>
    <t>440</t>
  </si>
  <si>
    <t>4003506</t>
  </si>
  <si>
    <t>Дели Лимон</t>
  </si>
  <si>
    <t>13 кг.</t>
  </si>
  <si>
    <t>3800 руб.</t>
  </si>
  <si>
    <t>441</t>
  </si>
  <si>
    <t>4008965</t>
  </si>
  <si>
    <t>Дели Мак</t>
  </si>
  <si>
    <t>13 кг.</t>
  </si>
  <si>
    <t>5130 руб.</t>
  </si>
  <si>
    <t>442</t>
  </si>
  <si>
    <t>4009262</t>
  </si>
  <si>
    <t>Дели Марципан</t>
  </si>
  <si>
    <t>13 кг.</t>
  </si>
  <si>
    <t>3830 руб.</t>
  </si>
  <si>
    <t>443</t>
  </si>
  <si>
    <t>Дели Соленая карамель</t>
  </si>
  <si>
    <t>Пуратос/Puratos</t>
  </si>
  <si>
    <t>сироп глюкозный, вода питьевая, сахар, молоко цельное сгущенное вареное с сахаром (молоко нормализованное, сахар), масло растительное пальмовое, загустители (E1442, Е466, Е440, Е412), соль, краситель (Е150с), ароматизаторы, карамелизованный жженый сахар, консервант - сорбат калия, регуляторы кислотности (кислота молочная, цитраты кальция), эмульгатор (Е435).</t>
  </si>
  <si>
    <t>13 кг.</t>
  </si>
  <si>
    <t>3910 руб.</t>
  </si>
  <si>
    <t>444</t>
  </si>
  <si>
    <t>4004994</t>
  </si>
  <si>
    <t>Дели Творожный сыр</t>
  </si>
  <si>
    <t>5 кг.</t>
  </si>
  <si>
    <t>1970 руб.</t>
  </si>
  <si>
    <t>445</t>
  </si>
  <si>
    <t>4104680</t>
  </si>
  <si>
    <t>Начинка Колдфил ванильный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</si>
  <si>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</si>
  <si>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</si>
  <si>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2370 руб.</t>
  </si>
  <si>
    <t>446</t>
  </si>
  <si>
    <t>4104681</t>
  </si>
  <si>
    <t>Начинка Колдфил какао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</si>
  <si>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</si>
  <si>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</si>
  <si>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2600 руб.</t>
  </si>
  <si>
    <t>447</t>
  </si>
  <si>
    <t>4104682</t>
  </si>
  <si>
    <t>Начинка Колдфил карамельный</t>
  </si>
  <si>
    <t>Пуратос/Puratos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</si>
  <si>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</si>
  <si>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</si>
  <si>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2540 руб.</t>
  </si>
  <si>
    <t>448</t>
  </si>
  <si>
    <t>4013182</t>
  </si>
  <si>
    <t xml:space="preserve">Топфил  Вишня 80% </t>
  </si>
  <si>
    <t>5,5 кг.</t>
  </si>
  <si>
    <t>4550 руб.</t>
  </si>
  <si>
    <t>449</t>
  </si>
  <si>
    <t>4013501</t>
  </si>
  <si>
    <t xml:space="preserve">Топфил Груша 60% </t>
  </si>
  <si>
    <t>5,5 кг.</t>
  </si>
  <si>
    <t>2430 руб.</t>
  </si>
  <si>
    <t>450</t>
  </si>
  <si>
    <t>4015773</t>
  </si>
  <si>
    <t>Топфил Клубника 60%</t>
  </si>
  <si>
    <t>5,5 кг.</t>
  </si>
  <si>
    <t>2280 руб.</t>
  </si>
  <si>
    <t>451</t>
  </si>
  <si>
    <t>4013502</t>
  </si>
  <si>
    <t xml:space="preserve">Топфил Манго 60% </t>
  </si>
  <si>
    <t>5,5 кг.</t>
  </si>
  <si>
    <t>2760 руб.</t>
  </si>
  <si>
    <t>452</t>
  </si>
  <si>
    <t>4014083</t>
  </si>
  <si>
    <t xml:space="preserve">Топфил Слива 60% </t>
  </si>
  <si>
    <t>5,5 кг.</t>
  </si>
  <si>
    <t>2060 руб.</t>
  </si>
  <si>
    <t>453</t>
  </si>
  <si>
    <t>4012920</t>
  </si>
  <si>
    <t xml:space="preserve">Топфил Яблоко 60% </t>
  </si>
  <si>
    <t>Пуратос/Puratos</t>
  </si>
  <si>
    <t>5,5 кг.</t>
  </si>
  <si>
    <t>2100 руб.</t>
  </si>
  <si>
    <t>Термостабильные</t>
  </si>
  <si>
    <t>Пуратос/Puratos</t>
  </si>
  <si>
    <t>454</t>
  </si>
  <si>
    <t>4002721</t>
  </si>
  <si>
    <t>Дели Чизкейк</t>
  </si>
  <si>
    <t>Пуратос/Puratos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</si>
  <si>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 и  ароматом сливочного сыра.</t>
  </si>
  <si>
    <t>5 кг.</t>
  </si>
  <si>
    <t>3050 руб.</t>
  </si>
  <si>
    <t>455</t>
  </si>
  <si>
    <t>4104696</t>
  </si>
  <si>
    <t>Кремфил вареная сгущенка Д</t>
  </si>
  <si>
    <t>однородная глянцевая масса, медленно растекающаяся на горизонтальной поверхности, коричневого цвета, обладающая сладким вкусом и сливочно-молочным ароматом.</t>
  </si>
  <si>
    <t>13 кг.</t>
  </si>
  <si>
    <t>3112 руб.</t>
  </si>
  <si>
    <t>456</t>
  </si>
  <si>
    <t>4104698</t>
  </si>
  <si>
    <t>Кремфил йогуртовая</t>
  </si>
  <si>
    <t>13 кг.</t>
  </si>
  <si>
    <t>2880 руб.</t>
  </si>
  <si>
    <t>457</t>
  </si>
  <si>
    <t>4104705</t>
  </si>
  <si>
    <t xml:space="preserve">Кремфил какао </t>
  </si>
  <si>
    <t>13 кг.</t>
  </si>
  <si>
    <t>2900 руб.</t>
  </si>
  <si>
    <t>458</t>
  </si>
  <si>
    <t>4104713</t>
  </si>
  <si>
    <t>Кремфил карамельная</t>
  </si>
  <si>
    <t>13 кг.</t>
  </si>
  <si>
    <t>2930 руб.</t>
  </si>
  <si>
    <t>459</t>
  </si>
  <si>
    <t>4006317</t>
  </si>
  <si>
    <t xml:space="preserve">Кремфил кокос </t>
  </si>
  <si>
    <t>13 кг.</t>
  </si>
  <si>
    <t>2760 руб.</t>
  </si>
  <si>
    <t>460</t>
  </si>
  <si>
    <t>4104725</t>
  </si>
  <si>
    <t xml:space="preserve">Кремфил лимон </t>
  </si>
  <si>
    <t>13 кг.</t>
  </si>
  <si>
    <t>2660 руб.</t>
  </si>
  <si>
    <t>461</t>
  </si>
  <si>
    <t>4104692</t>
  </si>
  <si>
    <t>Кремфил с ароматом ванили</t>
  </si>
  <si>
    <t>13 кг.</t>
  </si>
  <si>
    <t>2700 руб.</t>
  </si>
  <si>
    <t>462</t>
  </si>
  <si>
    <t>4003711</t>
  </si>
  <si>
    <t>Кремфил с творожным вкусом (без крупинок)</t>
  </si>
  <si>
    <t>13 кг.</t>
  </si>
  <si>
    <t>2720 руб.</t>
  </si>
  <si>
    <t>463</t>
  </si>
  <si>
    <t>4104727</t>
  </si>
  <si>
    <t xml:space="preserve">Кремфил сливочно-ванильный 202  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</si>
  <si>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</si>
  <si>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13 кг.</t>
  </si>
  <si>
    <t>3446 руб.</t>
  </si>
  <si>
    <t>464</t>
  </si>
  <si>
    <t>4104734</t>
  </si>
  <si>
    <t xml:space="preserve">Кремфил сливочный </t>
  </si>
  <si>
    <t>13 кг.</t>
  </si>
  <si>
    <t>2780 руб.</t>
  </si>
  <si>
    <t>465</t>
  </si>
  <si>
    <t>4104689</t>
  </si>
  <si>
    <t>Кремфил со вкусом банана</t>
  </si>
  <si>
    <t>однородная глянцевая масса, не растекающаяся на горизонтальной поверхности, светложелтого цвета, обладающая сладким вкусом и ароматом банана.</t>
  </si>
  <si>
    <t>13 кг.</t>
  </si>
  <si>
    <t>2750 руб.</t>
  </si>
  <si>
    <t>466</t>
  </si>
  <si>
    <t>4104714</t>
  </si>
  <si>
    <t>Кремфил со вкусом кленового сиропа</t>
  </si>
  <si>
    <t>Пуратос/Puratos</t>
  </si>
  <si>
    <t>13 кг.</t>
  </si>
  <si>
    <t>2960 руб.</t>
  </si>
  <si>
    <t>467</t>
  </si>
  <si>
    <t>4104715</t>
  </si>
  <si>
    <t>Кремфил со вкусом клубники</t>
  </si>
  <si>
    <t>13 кг.</t>
  </si>
  <si>
    <t>2780 руб.</t>
  </si>
  <si>
    <t>468</t>
  </si>
  <si>
    <t>4104719</t>
  </si>
  <si>
    <t>Кремфил со вкусом клюквы</t>
  </si>
  <si>
    <t>однородная глянцевая масса, не растекающаяся на горизонтальной поверхности, красного цвета, обладающая кисло-сладким вкусом и ароматом клюквы.</t>
  </si>
  <si>
    <t>13 кг.</t>
  </si>
  <si>
    <t>2741 руб.</t>
  </si>
  <si>
    <t>469</t>
  </si>
  <si>
    <t>4104721</t>
  </si>
  <si>
    <t>Кремфил со вкусом лесных ягод</t>
  </si>
  <si>
    <t>13 кг.</t>
  </si>
  <si>
    <t>2680 руб.</t>
  </si>
  <si>
    <t>470</t>
  </si>
  <si>
    <t>4003618</t>
  </si>
  <si>
    <t>Кремфил со вкусом меда</t>
  </si>
  <si>
    <t>13 кг.</t>
  </si>
  <si>
    <t>2955 руб.</t>
  </si>
  <si>
    <t>471</t>
  </si>
  <si>
    <t>4002632</t>
  </si>
  <si>
    <t>Кремфил со вкусом пломбира</t>
  </si>
  <si>
    <t>однородная глянцевая масса, не растекающаяся на горизонтальной поверхности, белого цвета, обладающая вкусом и ароматом пломбира.</t>
  </si>
  <si>
    <t>13 кг.</t>
  </si>
  <si>
    <t>2940 руб.</t>
  </si>
  <si>
    <t>472</t>
  </si>
  <si>
    <t>4104735</t>
  </si>
  <si>
    <t>Кремфил со вкусом сыра</t>
  </si>
  <si>
    <t>однородная глянцевая масса, не растекающаяся или медленно растекающаяся на горизонтальной поверхности, желтого цвета, обладающая вкусом и ароматом сливочного сыра.</t>
  </si>
  <si>
    <t>13 кг.</t>
  </si>
  <si>
    <t>3580 руб.</t>
  </si>
  <si>
    <t>473</t>
  </si>
  <si>
    <t>4104739</t>
  </si>
  <si>
    <t>Кремфил со вкусом фисташки Д</t>
  </si>
  <si>
    <t>однородная глянцевая масса, медленно растекающаяся на горизонтальной поверхности, фисташкого  цвета, обладающая сладким вкусом.</t>
  </si>
  <si>
    <t>13 кг.</t>
  </si>
  <si>
    <t>3330 руб.</t>
  </si>
  <si>
    <t>474</t>
  </si>
  <si>
    <t>4104753</t>
  </si>
  <si>
    <t xml:space="preserve">Кремфил со вкусом яблока и корицы </t>
  </si>
  <si>
    <t>однородная глянцевая масса, не растекающаяся на горизонтальной поверхности, желто-коричневого цвета, обладающая кисло-сладким вкусом и ароматом яблока с корицей.</t>
  </si>
  <si>
    <t>13 кг.</t>
  </si>
  <si>
    <t>2720 руб.</t>
  </si>
  <si>
    <t>475</t>
  </si>
  <si>
    <t>4104740</t>
  </si>
  <si>
    <t>Кремфил цитрон (начинка со вкусом лимона)</t>
  </si>
  <si>
    <t>Пуратос/Puratos</t>
  </si>
  <si>
    <t>13 кг.</t>
  </si>
  <si>
    <t>3030 руб.</t>
  </si>
  <si>
    <t>476</t>
  </si>
  <si>
    <t>4005727</t>
  </si>
  <si>
    <t>Кремфил шоколадная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</si>
  <si>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</si>
  <si>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13 кг.</t>
  </si>
  <si>
    <t>3040 руб.</t>
  </si>
  <si>
    <t>477</t>
  </si>
  <si>
    <t>4104744</t>
  </si>
  <si>
    <t xml:space="preserve">Кремфил шоколадный 202                </t>
  </si>
  <si>
    <t>Пуратос/Puratos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</si>
  <si>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</si>
  <si>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13 кг.</t>
  </si>
  <si>
    <t>3490 руб.</t>
  </si>
  <si>
    <t>478</t>
  </si>
  <si>
    <t>4009452</t>
  </si>
  <si>
    <t>Начинка Вивафил Брусника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</si>
  <si>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</si>
  <si>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</si>
  <si>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5180 руб.</t>
  </si>
  <si>
    <t>479</t>
  </si>
  <si>
    <t>4012078</t>
  </si>
  <si>
    <t>Начинка Вивафил Вишня 30%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</si>
  <si>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</si>
  <si>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</si>
  <si>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4545 руб.</t>
  </si>
  <si>
    <t>480</t>
  </si>
  <si>
    <t>4010429</t>
  </si>
  <si>
    <t>Начинка Вивафил Клубника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</si>
  <si>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</si>
  <si>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</si>
  <si>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13 кг.</t>
  </si>
  <si>
    <t>4020 руб.</t>
  </si>
  <si>
    <t>481</t>
  </si>
  <si>
    <t>4013026</t>
  </si>
  <si>
    <t>Начинка Вивафил Лимон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</si>
  <si>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</si>
  <si>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</si>
  <si>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13 кг.</t>
  </si>
  <si>
    <t>3780 руб.</t>
  </si>
  <si>
    <t>482</t>
  </si>
  <si>
    <t>4010428</t>
  </si>
  <si>
    <t>Начинка Вивафил Малина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</si>
  <si>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</si>
  <si>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</si>
  <si>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6370 руб.</t>
  </si>
  <si>
    <t>483</t>
  </si>
  <si>
    <t>4009442</t>
  </si>
  <si>
    <t>Начинка Вивафил Черная Смородина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</si>
  <si>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</si>
  <si>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</si>
  <si>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5670 руб.</t>
  </si>
  <si>
    <t>484</t>
  </si>
  <si>
    <t>4011877</t>
  </si>
  <si>
    <t>Начинка Вивафил Черника- арония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</si>
  <si>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</si>
  <si>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13 кг.</t>
  </si>
  <si>
    <t>4950 руб.</t>
  </si>
  <si>
    <t>485</t>
  </si>
  <si>
    <t>4003307</t>
  </si>
  <si>
    <t>Начинка Кремфил Нео ваниль</t>
  </si>
  <si>
    <t>однородная глянцевая масса, не растекающаяся на горизонтальной поверхности, обладающая характерным цветом и вкусом.</t>
  </si>
  <si>
    <t>13 кг.</t>
  </si>
  <si>
    <t>2700 руб.</t>
  </si>
  <si>
    <t>486</t>
  </si>
  <si>
    <t>4104722</t>
  </si>
  <si>
    <t>Начинка Кремфил Нео лесной орех</t>
  </si>
  <si>
    <t>13 кг.</t>
  </si>
  <si>
    <t>2650 руб.</t>
  </si>
  <si>
    <t>487</t>
  </si>
  <si>
    <t>4009465</t>
  </si>
  <si>
    <t>Начинка Кремфил Ультим  шоколадно-апельсиновая</t>
  </si>
  <si>
    <t>однородная глянцевая масса, не растекающаяся на горизонтальной поверхности,</t>
  </si>
  <si>
    <t>13 кг.</t>
  </si>
  <si>
    <t>4400 руб.</t>
  </si>
  <si>
    <t>488</t>
  </si>
  <si>
    <t>4104737</t>
  </si>
  <si>
    <t>Начинка Кремфил Ультим ореховая</t>
  </si>
  <si>
    <t>однородная глянцевая масса, не растекающаяся на горизонтальной поверхности,</t>
  </si>
  <si>
    <t>13 кг.</t>
  </si>
  <si>
    <t>5250 руб.</t>
  </si>
  <si>
    <t>489</t>
  </si>
  <si>
    <t>4104743</t>
  </si>
  <si>
    <t>Начинка Кремфил Ультим с темным шоколадом</t>
  </si>
  <si>
    <t>однородная глянцевая масса, не растекающаяся на горизонтальной поверхности,обладающая цветом, вкусом и ароматом шоколада.</t>
  </si>
  <si>
    <t>13 кг.</t>
  </si>
  <si>
    <t>3670 руб.</t>
  </si>
  <si>
    <t>490</t>
  </si>
  <si>
    <t>4005324</t>
  </si>
  <si>
    <t>Фрутфил абрикос</t>
  </si>
  <si>
    <t>13 кг.</t>
  </si>
  <si>
    <t>2600 руб.</t>
  </si>
  <si>
    <t>491</t>
  </si>
  <si>
    <t>4104800</t>
  </si>
  <si>
    <t>Фрутфил абрикос Д</t>
  </si>
  <si>
    <t>однородная глянцевая масса, медленно растекающаяся на горизонтальной поверхности</t>
  </si>
  <si>
    <t>13 кг.</t>
  </si>
  <si>
    <t>3095 руб.</t>
  </si>
  <si>
    <t>492</t>
  </si>
  <si>
    <t>4002025</t>
  </si>
  <si>
    <t>Фрутфил апельсин Д</t>
  </si>
  <si>
    <t>Пуратос/Puratos</t>
  </si>
  <si>
    <t>однородная глянцевая масса, не растекающаяся на горизонтальной поверхности, оранжевого цвета, обладающая вкусом и ароматом апельсина.</t>
  </si>
  <si>
    <t>13 кг.</t>
  </si>
  <si>
    <t>3090 руб.</t>
  </si>
  <si>
    <t>493</t>
  </si>
  <si>
    <t>4005323</t>
  </si>
  <si>
    <t>Фрутфил вишня</t>
  </si>
  <si>
    <t>13 кг.</t>
  </si>
  <si>
    <t>2690 руб.</t>
  </si>
  <si>
    <t>494</t>
  </si>
  <si>
    <t>4008501</t>
  </si>
  <si>
    <t>Фрутфил груша</t>
  </si>
  <si>
    <t>Однородная глянцевая масса, не растекающаяся на горизонтальной поверхности, желтогоцвета, обладающая кисло-сладким вкусом и ароматом груши.</t>
  </si>
  <si>
    <t>13 кг.</t>
  </si>
  <si>
    <t>2525 руб.</t>
  </si>
  <si>
    <t>495</t>
  </si>
  <si>
    <t>4104929</t>
  </si>
  <si>
    <t xml:space="preserve">Фрутфил лимон Д   </t>
  </si>
  <si>
    <t>Однородная глянцевая масса, не растекающаяся на горизонтальной поверхности, желтого цвета, обладающая вкусом и ароматом лимона.</t>
  </si>
  <si>
    <t>13 кг.</t>
  </si>
  <si>
    <t>2950 руб.</t>
  </si>
  <si>
    <t>496</t>
  </si>
  <si>
    <t>4005325</t>
  </si>
  <si>
    <t>Фрутфил малина</t>
  </si>
  <si>
    <t>13 кг.</t>
  </si>
  <si>
    <t>2640 руб.</t>
  </si>
  <si>
    <t>497</t>
  </si>
  <si>
    <t>4004705</t>
  </si>
  <si>
    <t>Фрутфил малина Д</t>
  </si>
  <si>
    <t>Однородная глянцевая масса, не растекающаяся на горизонтальной поверхности, розоваго  цвета, обладающая вкусом и ароматом малины.</t>
  </si>
  <si>
    <t>13 кг.</t>
  </si>
  <si>
    <t>3700 руб.</t>
  </si>
  <si>
    <t>498</t>
  </si>
  <si>
    <t>4006897</t>
  </si>
  <si>
    <t>Фрутфил манго</t>
  </si>
  <si>
    <t>13 кг.</t>
  </si>
  <si>
    <t>2875 руб.</t>
  </si>
  <si>
    <t>499</t>
  </si>
  <si>
    <t>4104802</t>
  </si>
  <si>
    <t>Фрутфил со вкусом вишня Д</t>
  </si>
  <si>
    <t>однородная глянцевая масса, медленно растекающаяся на горизонтальной поверхности.</t>
  </si>
  <si>
    <t>13 кг.</t>
  </si>
  <si>
    <t>2960 руб.</t>
  </si>
  <si>
    <t>500</t>
  </si>
  <si>
    <t>4003306</t>
  </si>
  <si>
    <t xml:space="preserve">Фрутфил черемуха </t>
  </si>
  <si>
    <t>13 кг.</t>
  </si>
  <si>
    <t>3102 руб.</t>
  </si>
  <si>
    <t>501</t>
  </si>
  <si>
    <t>4104806</t>
  </si>
  <si>
    <t>Фрутфил черная смородина Д</t>
  </si>
  <si>
    <t>однородная глянцевая масса, не растекающаяся на горизонтальной поверхности, обладающая различным вкусом и ароматом.</t>
  </si>
  <si>
    <t>13 кг.</t>
  </si>
  <si>
    <t>3080 руб.</t>
  </si>
  <si>
    <t>502</t>
  </si>
  <si>
    <t>4104807</t>
  </si>
  <si>
    <t>Фрутфил черника Д</t>
  </si>
  <si>
    <t>Пуратос/Puratos</t>
  </si>
  <si>
    <t>однородная глянцевая масса, не растекающаяся на горизонтальной поверхности, обладающая различным вкусом и ароматом.</t>
  </si>
  <si>
    <t>13 кг.</t>
  </si>
  <si>
    <t>3000 руб.</t>
  </si>
  <si>
    <t>503</t>
  </si>
  <si>
    <t>4006486</t>
  </si>
  <si>
    <t>Фрутфил чернослив</t>
  </si>
  <si>
    <t>13 кг.</t>
  </si>
  <si>
    <t>3080 руб.</t>
  </si>
  <si>
    <t>Начинки на жировой основе</t>
  </si>
  <si>
    <t>Пуратос/Puratos</t>
  </si>
  <si>
    <t>504</t>
  </si>
  <si>
    <t>4005195</t>
  </si>
  <si>
    <t>Глазурь Карат Декоркрем Натти</t>
  </si>
  <si>
    <t>Однородная (без ощутимых частиц сахара и какао-продуктов) масса темно-коричневого цвета, обладающая сладким вкусом и ароматом шоколада.</t>
  </si>
  <si>
    <t>12 кг.</t>
  </si>
  <si>
    <t>5100 руб.</t>
  </si>
  <si>
    <t>505</t>
  </si>
  <si>
    <t>4007542</t>
  </si>
  <si>
    <t>Глазурь Карат Декоркрем Шоко</t>
  </si>
  <si>
    <t>12 кг.</t>
  </si>
  <si>
    <t>4810 руб.</t>
  </si>
  <si>
    <t>506</t>
  </si>
  <si>
    <t>4007543</t>
  </si>
  <si>
    <t>Глазурь Карат Суперкрем  Натти</t>
  </si>
  <si>
    <t>Консистенция:5 – 10°С — плотная;25 – 30°С — вязкая, гладкая, с блестящей поверхностью;40 – 45°С — жидкая.</t>
  </si>
  <si>
    <t>12 кг.</t>
  </si>
  <si>
    <t>4700 руб.</t>
  </si>
  <si>
    <t>507</t>
  </si>
  <si>
    <t>4007544</t>
  </si>
  <si>
    <t>Глазурь Карат Суперкрем Шоко</t>
  </si>
  <si>
    <t>Консистенция:5 – 10°С — плотная;25 – 30°С — вязкая, гладкая, с блест ящей поверхностью;40 – 45°С — жидкая.</t>
  </si>
  <si>
    <t>12 кг.</t>
  </si>
  <si>
    <t>4650 руб.</t>
  </si>
  <si>
    <t>Функциональные ингредиенты</t>
  </si>
  <si>
    <t>508</t>
  </si>
  <si>
    <t>4009926</t>
  </si>
  <si>
    <t xml:space="preserve"> Консервант и влагоудерживающий агент Лонг-Фреш</t>
  </si>
  <si>
    <t>11 л.</t>
  </si>
  <si>
    <t>4850 руб.</t>
  </si>
  <si>
    <t>509</t>
  </si>
  <si>
    <t>4002270</t>
  </si>
  <si>
    <t xml:space="preserve"> Улучшитель Акти-Фреш РО14     </t>
  </si>
  <si>
    <t>15 кг.</t>
  </si>
  <si>
    <t>9420 руб.</t>
  </si>
  <si>
    <t>510</t>
  </si>
  <si>
    <t>4100967</t>
  </si>
  <si>
    <t>Паста для взбивания Полигель</t>
  </si>
  <si>
    <t>Бесцветный гель с нейтральным вкусом и запахом с содержанием эмульгаторов минимум 32%.</t>
  </si>
  <si>
    <t>14101 руб.</t>
  </si>
  <si>
    <t>20 кг.</t>
  </si>
  <si>
    <t>11000 руб.</t>
  </si>
  <si>
    <t>511</t>
  </si>
  <si>
    <t>4104623</t>
  </si>
  <si>
    <t>Пекарский порошок Бейкин Супер</t>
  </si>
  <si>
    <t>1 кг.</t>
  </si>
  <si>
    <t>5850 руб.</t>
  </si>
  <si>
    <t>15 кг.</t>
  </si>
  <si>
    <t>5850 руб.</t>
  </si>
  <si>
    <t>0,2 кг.</t>
  </si>
  <si>
    <t>5850 руб.</t>
  </si>
  <si>
    <t>3 кг.</t>
  </si>
  <si>
    <t>5850 руб.</t>
  </si>
  <si>
    <t>512</t>
  </si>
  <si>
    <t>4015681</t>
  </si>
  <si>
    <t xml:space="preserve">ТВС Акти-Фреш  PY 90                </t>
  </si>
  <si>
    <t>15 кг.</t>
  </si>
  <si>
    <t>5800 руб.</t>
  </si>
  <si>
    <t>Цукаты</t>
  </si>
  <si>
    <t>513</t>
  </si>
  <si>
    <t>00-00000578</t>
  </si>
  <si>
    <t>Цукаты Апельсин (кубики) 4х4 мм</t>
  </si>
  <si>
    <t>Вкус и запах апельсиновый, характерный для
используемого сырья и добавок, без
посторонних запахов и послевкусия
Консистенция и внешний вид характерный для цукатов из
апельсиновой корки, нарезанной на кубики. Допускается вытекание
сиропа.
Цвет оранжевый</t>
  </si>
  <si>
    <t>1 кг.</t>
  </si>
  <si>
    <t>755 руб.</t>
  </si>
  <si>
    <t>10 кг.</t>
  </si>
  <si>
    <t>6130 руб.</t>
  </si>
  <si>
    <t>3 кг.</t>
  </si>
  <si>
    <t>2110 руб.</t>
  </si>
  <si>
    <t>0,5 кг.</t>
  </si>
  <si>
    <t>465 руб.</t>
  </si>
  <si>
    <t>N</t>
  </si>
  <si>
    <t>Артикул</t>
  </si>
  <si>
    <t>Фото</t>
  </si>
  <si>
    <t>Наименование</t>
  </si>
  <si>
    <t>Бренд</t>
  </si>
  <si>
    <t>Свойства</t>
  </si>
  <si>
    <t>Единицы</t>
  </si>
  <si>
    <t>Цена</t>
  </si>
  <si>
    <t>Кол-во</t>
  </si>
  <si>
    <t>Сумма</t>
  </si>
  <si>
    <t>Пищевая печать</t>
  </si>
  <si>
    <t>Пищевая бумага</t>
  </si>
  <si>
    <t>Вафельная бумага</t>
  </si>
  <si>
    <t>Толстая</t>
  </si>
  <si>
    <t>Копиформ/Kopiform</t>
  </si>
  <si>
    <t>514</t>
  </si>
  <si>
    <t>TP026</t>
  </si>
  <si>
    <t>Толстая вафельная пищевая бумага  А4 25 листов</t>
  </si>
  <si>
    <t>Копиформ/Kopyform</t>
  </si>
  <si>
    <t>Толщина 0,6 мм.Термоустойчивая и морозостойкая.Хорошая цветопередача.Нейтральный вкус. Не содержит сахар,глютен,аллергены, Формат А4.</t>
  </si>
  <si>
    <t>1 шт.</t>
  </si>
  <si>
    <t>500 руб.</t>
  </si>
  <si>
    <t>Тонкая</t>
  </si>
  <si>
    <t>515</t>
  </si>
  <si>
    <t>TP025</t>
  </si>
  <si>
    <t>Вафельная тонкая пищевая бумага А4 25 листов</t>
  </si>
  <si>
    <t>Копиформ/Kopyform</t>
  </si>
  <si>
    <t>Толщина  0,35 мм. Термоустойчивая,морозостойкая. Хорошая цветопередача.Нейтральный вкус. Не содержит сахар,глютен и аллергены. Формат А4.</t>
  </si>
  <si>
    <t>100 лист.</t>
  </si>
  <si>
    <t>1 шт.</t>
  </si>
  <si>
    <t>580 руб.</t>
  </si>
  <si>
    <t>Сахарная бумага</t>
  </si>
  <si>
    <t>516</t>
  </si>
  <si>
    <t>TP021</t>
  </si>
  <si>
    <t xml:space="preserve">Сахарная бумага A4 Decor Paper Plus 25 л </t>
  </si>
  <si>
    <t>Копиформ/Kopyform</t>
  </si>
  <si>
    <t>Толщина листа 0,45-0,55 мм. Отличная цветопередача. Эластичность, белоснежность, гладкость текстуры. Вкус сладкий, но не приторный.</t>
  </si>
  <si>
    <t>1 шт.</t>
  </si>
  <si>
    <t>1900 руб.</t>
  </si>
  <si>
    <t>10 шт.</t>
  </si>
  <si>
    <t>1900 руб.</t>
  </si>
  <si>
    <t>Шокотрансферная бумага</t>
  </si>
  <si>
    <t>517</t>
  </si>
  <si>
    <t>Шокотрансферная бумага/ Choco-Sheets</t>
  </si>
  <si>
    <t>Формат А4</t>
  </si>
  <si>
    <t>1 шт.</t>
  </si>
  <si>
    <t>1800 руб.</t>
  </si>
  <si>
    <t>Промывочные жидкости</t>
  </si>
  <si>
    <t>518</t>
  </si>
  <si>
    <t>SW009</t>
  </si>
  <si>
    <t>FORCE – промывочная жидкость для пищевых чернил принтеров</t>
  </si>
  <si>
    <t>жидкий, щелочной низкопенный концентрат, прозрачная зелуеная жидкость со специфическим запахом. Пожаро и взрывобезопасный.</t>
  </si>
  <si>
    <t>0,1 л.</t>
  </si>
  <si>
    <t>190 руб.</t>
  </si>
  <si>
    <t>0,5 л.</t>
  </si>
  <si>
    <t>750 руб.</t>
  </si>
  <si>
    <t>519</t>
  </si>
  <si>
    <t>SW397</t>
  </si>
  <si>
    <t>POWER - промывочная жидкость для деталей пищевых принтеров (концентрат)</t>
  </si>
  <si>
    <t>Жидкий нейтральный готовый к применению препарат против лёгких загрязнений. Уничтожает патогенные микроорганизмы, в т.ч. плесневые микрогрибы и их споры. Быстро высыхает, не оставляя следов. Не требует смывания, в т.ч. с поверхностей, непосредственно контактирующих с пищей. Легко воспламеняемый. Замерзает при -60°С.</t>
  </si>
  <si>
    <t>0,1 л.</t>
  </si>
  <si>
    <t>140 руб.</t>
  </si>
  <si>
    <t>0,5 л.</t>
  </si>
  <si>
    <t>500 руб.</t>
  </si>
  <si>
    <t>Чернила</t>
  </si>
  <si>
    <t>Для Кэнон/Canon</t>
  </si>
  <si>
    <t>Tartine</t>
  </si>
  <si>
    <t>520</t>
  </si>
  <si>
    <t>FICB</t>
  </si>
  <si>
    <t>Чернила пищевые для принтеров типа Кэнон  4х1 л</t>
  </si>
  <si>
    <t>1 шт.</t>
  </si>
  <si>
    <t>9000 руб.</t>
  </si>
  <si>
    <t>0,4 л.</t>
  </si>
  <si>
    <t>1100 руб.</t>
  </si>
  <si>
    <t>521</t>
  </si>
  <si>
    <t>FICB</t>
  </si>
  <si>
    <t>Чернила пищевые для принтеров типа Кэнон 1 л</t>
  </si>
  <si>
    <t>1 шт.</t>
  </si>
  <si>
    <t>2400 руб.</t>
  </si>
  <si>
    <t>1 шт.</t>
  </si>
  <si>
    <t>2400 руб.</t>
  </si>
  <si>
    <t>1 шт.</t>
  </si>
  <si>
    <t>2400 руб.</t>
  </si>
  <si>
    <t>1 шт.</t>
  </si>
  <si>
    <t>2400 руб.</t>
  </si>
  <si>
    <t>522</t>
  </si>
  <si>
    <t>FICB</t>
  </si>
  <si>
    <t>Чернила пищевые для принтеров типа Кэнон 100 мл</t>
  </si>
  <si>
    <t>1 шт.</t>
  </si>
  <si>
    <t>300 руб.</t>
  </si>
  <si>
    <t>1 шт.</t>
  </si>
  <si>
    <t>300 руб.</t>
  </si>
  <si>
    <t>1 шт.</t>
  </si>
  <si>
    <t>300 руб.</t>
  </si>
  <si>
    <t>1 шт.</t>
  </si>
  <si>
    <t>300 руб.</t>
  </si>
  <si>
    <t>1 шт.</t>
  </si>
  <si>
    <t>300 руб.</t>
  </si>
  <si>
    <t>523</t>
  </si>
  <si>
    <t>FICB</t>
  </si>
  <si>
    <t>Чернила пищевые для принтеров типа Кэнон 4х100 мл</t>
  </si>
  <si>
    <t>1 л.</t>
  </si>
  <si>
    <t>2400 руб.</t>
  </si>
  <si>
    <t>1 шт.</t>
  </si>
  <si>
    <t>1100 руб.</t>
  </si>
  <si>
    <t>1 л.</t>
  </si>
  <si>
    <t>2400 руб.</t>
  </si>
  <si>
    <t>0,1 л.</t>
  </si>
  <si>
    <t>300 руб.</t>
  </si>
  <si>
    <t>0,1 л.</t>
  </si>
  <si>
    <t>300 руб.</t>
  </si>
  <si>
    <t>0,1 л.</t>
  </si>
  <si>
    <t>300 руб.</t>
  </si>
  <si>
    <t>1 л.</t>
  </si>
  <si>
    <t>2400 руб.</t>
  </si>
  <si>
    <t>1 л.</t>
  </si>
  <si>
    <t>2400 руб.</t>
  </si>
  <si>
    <t>0,1 л.</t>
  </si>
  <si>
    <t>300 руб.</t>
  </si>
  <si>
    <t>Печать</t>
  </si>
  <si>
    <t>524</t>
  </si>
  <si>
    <t>Печать на вафельной (толстой) бумаге A4 (21 х 29.7 см)</t>
  </si>
  <si>
    <t>1 шт.</t>
  </si>
  <si>
    <t>200 руб.</t>
  </si>
  <si>
    <t>525</t>
  </si>
  <si>
    <t>Печать на сахарной бумаге A4 (21 х 29.7 см)</t>
  </si>
  <si>
    <t>1 шт.</t>
  </si>
  <si>
    <t>400 руб.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</si>
</sst>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center" wrapText="1"/>
    </xf>
    <xf numFmtId="0" fontId="5" fillId="0" borderId="0" xfId="5" applyFont="1" applyAlignment="1" applyProtection="1">
      <alignment horizontal="left" vertical="center" wrapText="1"/>
    </xf>
    <xf numFmtId="0" fontId="0" fillId="0" borderId="0" xfId="6" applyAlignment="1" applyProtection="1">
      <alignment horizontal="right" vertical="center" wrapText="1"/>
    </xf>
    <xf numFmtId="0" fontId="0" fillId="0" borderId="0" xfId="7" applyAlignment="1" applyProtection="1">
      <alignment horizontal="left" vertical="center" wrapText="1"/>
    </xf>
    <xf numFmtId="0" fontId="6" fillId="0" borderId="0" xfId="8" applyFont="1" applyAlignment="1" applyProtection="1">
      <alignment horizontal="right" vertical="top" wrapText="1"/>
    </xf>
    <xf numFmtId="0" fontId="7" fillId="0" borderId="0" xfId="9" applyFont="1" applyAlignment="1" applyProtection="1">
      <alignment horizontal="right" vertical="top" wrapText="1"/>
    </xf>
    <xf numFmtId="0" fontId="8" fillId="0" borderId="0" xfId="10" applyFont="1" applyAlignment="1" applyProtection="1">
      <alignment horizontal="right" vertical="center" wrapText="1"/>
    </xf>
    <xf numFmtId="0" fontId="9" fillId="0" borderId="0" xfId="11" applyFont="1" applyAlignment="1" applyProtection="1">
      <alignment horizontal="right" vertical="center" wrapText="1"/>
    </xf>
    <xf numFmtId="0" fontId="0" fillId="0" borderId="0" xfId="12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Relationship Id="rId11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eg"/><Relationship Id="rId4" Type="http://schemas.openxmlformats.org/officeDocument/2006/relationships/image" Target="../media/image4.jpe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jpeg"/><Relationship Id="rId3" Type="http://schemas.openxmlformats.org/officeDocument/2006/relationships/image" Target="../media/image7.jpg"/><Relationship Id="rId4" Type="http://schemas.openxmlformats.org/officeDocument/2006/relationships/image" Target="../media/image8.jpeg"/><Relationship Id="rId5" Type="http://schemas.openxmlformats.org/officeDocument/2006/relationships/image" Target="../media/image9.jpeg"/><Relationship Id="rId6" Type="http://schemas.openxmlformats.org/officeDocument/2006/relationships/image" Target="../media/image10.jpeg"/><Relationship Id="rId7" Type="http://schemas.openxmlformats.org/officeDocument/2006/relationships/image" Target="../media/image11.jpg"/><Relationship Id="rId8" Type="http://schemas.openxmlformats.org/officeDocument/2006/relationships/image" Target="../media/image12.jpeg"/><Relationship Id="rId9" Type="http://schemas.openxmlformats.org/officeDocument/2006/relationships/image" Target="../media/image13.jpeg"/><Relationship Id="rId10" Type="http://schemas.openxmlformats.org/officeDocument/2006/relationships/image" Target="../media/image14.jpeg"/><Relationship Id="rId11" Type="http://schemas.openxmlformats.org/officeDocument/2006/relationships/image" Target="../media/image15.jpeg"/><Relationship Id="rId12" Type="http://schemas.openxmlformats.org/officeDocument/2006/relationships/image" Target="../media/image16.jpg"/><Relationship Id="rId13" Type="http://schemas.openxmlformats.org/officeDocument/2006/relationships/image" Target="../media/image17.jpeg"/><Relationship Id="rId14" Type="http://schemas.openxmlformats.org/officeDocument/2006/relationships/image" Target="../media/image18.jpeg"/><Relationship Id="rId15" Type="http://schemas.openxmlformats.org/officeDocument/2006/relationships/image" Target="../media/image19.jpg"/><Relationship Id="rId16" Type="http://schemas.openxmlformats.org/officeDocument/2006/relationships/image" Target="../media/image20.jpg"/><Relationship Id="rId17" Type="http://schemas.openxmlformats.org/officeDocument/2006/relationships/image" Target="../media/image21.jpeg"/><Relationship Id="rId18" Type="http://schemas.openxmlformats.org/officeDocument/2006/relationships/image" Target="../media/image22.png"/><Relationship Id="rId19" Type="http://schemas.openxmlformats.org/officeDocument/2006/relationships/image" Target="../media/image23.jpeg"/><Relationship Id="rId20" Type="http://schemas.openxmlformats.org/officeDocument/2006/relationships/image" Target="../media/image24.jpg"/><Relationship Id="rId21" Type="http://schemas.openxmlformats.org/officeDocument/2006/relationships/image" Target="../media/image25.jpeg"/><Relationship Id="rId22" Type="http://schemas.openxmlformats.org/officeDocument/2006/relationships/image" Target="../media/image26.jpeg"/><Relationship Id="rId23" Type="http://schemas.openxmlformats.org/officeDocument/2006/relationships/image" Target="../media/image27.jpe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28.png"/><Relationship Id="rId2" Type="http://schemas.openxmlformats.org/officeDocument/2006/relationships/image" Target="../media/image29.png"/><Relationship Id="rId3" Type="http://schemas.openxmlformats.org/officeDocument/2006/relationships/image" Target="../media/image30.png"/><Relationship Id="rId4" Type="http://schemas.openxmlformats.org/officeDocument/2006/relationships/image" Target="../media/image31.png"/><Relationship Id="rId5" Type="http://schemas.openxmlformats.org/officeDocument/2006/relationships/image" Target="../media/image32.png"/><Relationship Id="rId6" Type="http://schemas.openxmlformats.org/officeDocument/2006/relationships/image" Target="../media/image33.png"/><Relationship Id="rId7" Type="http://schemas.openxmlformats.org/officeDocument/2006/relationships/image" Target="../media/image34.png"/><Relationship Id="rId8" Type="http://schemas.openxmlformats.org/officeDocument/2006/relationships/image" Target="../media/image35.png"/><Relationship Id="rId9" Type="http://schemas.openxmlformats.org/officeDocument/2006/relationships/image" Target="../media/image36.png"/><Relationship Id="rId10" Type="http://schemas.openxmlformats.org/officeDocument/2006/relationships/image" Target="../media/image37.png"/><Relationship Id="rId11" Type="http://schemas.openxmlformats.org/officeDocument/2006/relationships/image" Target="../media/image38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39.jpeg"/><Relationship Id="rId2" Type="http://schemas.openxmlformats.org/officeDocument/2006/relationships/image" Target="../media/image40.png"/><Relationship Id="rId3" Type="http://schemas.openxmlformats.org/officeDocument/2006/relationships/image" Target="../media/image41.jpeg"/><Relationship Id="rId4" Type="http://schemas.openxmlformats.org/officeDocument/2006/relationships/image" Target="../media/image42.jpg"/><Relationship Id="rId5" Type="http://schemas.openxmlformats.org/officeDocument/2006/relationships/image" Target="../media/image43.png"/><Relationship Id="rId6" Type="http://schemas.openxmlformats.org/officeDocument/2006/relationships/image" Target="../media/image44.jpg"/><Relationship Id="rId7" Type="http://schemas.openxmlformats.org/officeDocument/2006/relationships/image" Target="../media/image45.jpg"/><Relationship Id="rId8" Type="http://schemas.openxmlformats.org/officeDocument/2006/relationships/image" Target="../media/image46.jpg"/><Relationship Id="rId9" Type="http://schemas.openxmlformats.org/officeDocument/2006/relationships/image" Target="../media/image47.png"/><Relationship Id="rId10" Type="http://schemas.openxmlformats.org/officeDocument/2006/relationships/image" Target="../media/image48.jpg"/><Relationship Id="rId11" Type="http://schemas.openxmlformats.org/officeDocument/2006/relationships/image" Target="../media/image49.png"/><Relationship Id="rId12" Type="http://schemas.openxmlformats.org/officeDocument/2006/relationships/image" Target="../media/image50.jpg"/><Relationship Id="rId13" Type="http://schemas.openxmlformats.org/officeDocument/2006/relationships/image" Target="../media/image51.jpg"/><Relationship Id="rId14" Type="http://schemas.openxmlformats.org/officeDocument/2006/relationships/image" Target="../media/image52.png"/><Relationship Id="rId15" Type="http://schemas.openxmlformats.org/officeDocument/2006/relationships/image" Target="../media/image53.jpg"/><Relationship Id="rId16" Type="http://schemas.openxmlformats.org/officeDocument/2006/relationships/image" Target="../media/image54.jpg"/><Relationship Id="rId17" Type="http://schemas.openxmlformats.org/officeDocument/2006/relationships/image" Target="../media/image55.jpg"/><Relationship Id="rId18" Type="http://schemas.openxmlformats.org/officeDocument/2006/relationships/image" Target="../media/image56.jpg"/><Relationship Id="rId19" Type="http://schemas.openxmlformats.org/officeDocument/2006/relationships/image" Target="../media/image57.jpg"/><Relationship Id="rId20" Type="http://schemas.openxmlformats.org/officeDocument/2006/relationships/image" Target="../media/image58.jpeg"/><Relationship Id="rId21" Type="http://schemas.openxmlformats.org/officeDocument/2006/relationships/image" Target="../media/image59.jpg"/><Relationship Id="rId22" Type="http://schemas.openxmlformats.org/officeDocument/2006/relationships/image" Target="../media/image60.jpg"/><Relationship Id="rId23" Type="http://schemas.openxmlformats.org/officeDocument/2006/relationships/image" Target="../media/image61.jpe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62.jpeg"/><Relationship Id="rId2" Type="http://schemas.openxmlformats.org/officeDocument/2006/relationships/image" Target="../media/image63.jpg"/><Relationship Id="rId3" Type="http://schemas.openxmlformats.org/officeDocument/2006/relationships/image" Target="../media/image64.jpg"/><Relationship Id="rId4" Type="http://schemas.openxmlformats.org/officeDocument/2006/relationships/image" Target="../media/image65.jpg"/><Relationship Id="rId5" Type="http://schemas.openxmlformats.org/officeDocument/2006/relationships/image" Target="../media/image66.jpeg"/><Relationship Id="rId6" Type="http://schemas.openxmlformats.org/officeDocument/2006/relationships/image" Target="../media/image67.jpeg"/><Relationship Id="rId7" Type="http://schemas.openxmlformats.org/officeDocument/2006/relationships/image" Target="../media/image68.jpeg"/><Relationship Id="rId8" Type="http://schemas.openxmlformats.org/officeDocument/2006/relationships/image" Target="../media/image69.jpeg"/><Relationship Id="rId9" Type="http://schemas.openxmlformats.org/officeDocument/2006/relationships/image" Target="../media/image70.jpeg"/><Relationship Id="rId10" Type="http://schemas.openxmlformats.org/officeDocument/2006/relationships/image" Target="../media/image71.jpeg"/><Relationship Id="rId11" Type="http://schemas.openxmlformats.org/officeDocument/2006/relationships/image" Target="../media/image72.jpeg"/><Relationship Id="rId12" Type="http://schemas.openxmlformats.org/officeDocument/2006/relationships/image" Target="../media/image73.jpeg"/><Relationship Id="rId13" Type="http://schemas.openxmlformats.org/officeDocument/2006/relationships/image" Target="../media/image74.jpeg"/><Relationship Id="rId14" Type="http://schemas.openxmlformats.org/officeDocument/2006/relationships/image" Target="../media/image75.jpeg"/><Relationship Id="rId15" Type="http://schemas.openxmlformats.org/officeDocument/2006/relationships/image" Target="../media/image76.jpeg"/><Relationship Id="rId16" Type="http://schemas.openxmlformats.org/officeDocument/2006/relationships/image" Target="../media/image77.jpeg"/><Relationship Id="rId17" Type="http://schemas.openxmlformats.org/officeDocument/2006/relationships/image" Target="../media/image78.jpeg"/><Relationship Id="rId18" Type="http://schemas.openxmlformats.org/officeDocument/2006/relationships/image" Target="../media/image79.jpg"/><Relationship Id="rId19" Type="http://schemas.openxmlformats.org/officeDocument/2006/relationships/image" Target="../media/image80.png"/><Relationship Id="rId20" Type="http://schemas.openxmlformats.org/officeDocument/2006/relationships/image" Target="../media/image81.jpg"/><Relationship Id="rId21" Type="http://schemas.openxmlformats.org/officeDocument/2006/relationships/image" Target="../media/image82.jpeg"/><Relationship Id="rId22" Type="http://schemas.openxmlformats.org/officeDocument/2006/relationships/image" Target="../media/image83.jpeg"/><Relationship Id="rId23" Type="http://schemas.openxmlformats.org/officeDocument/2006/relationships/image" Target="../media/image84.jpg"/><Relationship Id="rId24" Type="http://schemas.openxmlformats.org/officeDocument/2006/relationships/image" Target="../media/image85.jpg"/><Relationship Id="rId25" Type="http://schemas.openxmlformats.org/officeDocument/2006/relationships/image" Target="../media/image86.jpg"/><Relationship Id="rId26" Type="http://schemas.openxmlformats.org/officeDocument/2006/relationships/image" Target="../media/image87.jpg"/><Relationship Id="rId27" Type="http://schemas.openxmlformats.org/officeDocument/2006/relationships/image" Target="../media/image88.jpg"/><Relationship Id="rId28" Type="http://schemas.openxmlformats.org/officeDocument/2006/relationships/image" Target="../media/image89.jpeg"/><Relationship Id="rId29" Type="http://schemas.openxmlformats.org/officeDocument/2006/relationships/image" Target="../media/image90.jpeg"/><Relationship Id="rId30" Type="http://schemas.openxmlformats.org/officeDocument/2006/relationships/image" Target="../media/image91.jpeg"/><Relationship Id="rId31" Type="http://schemas.openxmlformats.org/officeDocument/2006/relationships/image" Target="../media/image92.jpeg"/><Relationship Id="rId32" Type="http://schemas.openxmlformats.org/officeDocument/2006/relationships/image" Target="../media/image93.jpeg"/><Relationship Id="rId33" Type="http://schemas.openxmlformats.org/officeDocument/2006/relationships/image" Target="../media/image94.jpeg"/><Relationship Id="rId34" Type="http://schemas.openxmlformats.org/officeDocument/2006/relationships/image" Target="../media/image95.jpeg"/><Relationship Id="rId35" Type="http://schemas.openxmlformats.org/officeDocument/2006/relationships/image" Target="../media/image96.jpeg"/><Relationship Id="rId36" Type="http://schemas.openxmlformats.org/officeDocument/2006/relationships/image" Target="../media/image97.jpg"/><Relationship Id="rId37" Type="http://schemas.openxmlformats.org/officeDocument/2006/relationships/image" Target="../media/image98.jpeg"/><Relationship Id="rId38" Type="http://schemas.openxmlformats.org/officeDocument/2006/relationships/image" Target="../media/image99.jpeg"/><Relationship Id="rId39" Type="http://schemas.openxmlformats.org/officeDocument/2006/relationships/image" Target="../media/image100.jpeg"/><Relationship Id="rId40" Type="http://schemas.openxmlformats.org/officeDocument/2006/relationships/image" Target="../media/image101.jpeg"/><Relationship Id="rId41" Type="http://schemas.openxmlformats.org/officeDocument/2006/relationships/image" Target="../media/image102.jpeg"/><Relationship Id="rId42" Type="http://schemas.openxmlformats.org/officeDocument/2006/relationships/image" Target="../media/image103.jpeg"/><Relationship Id="rId43" Type="http://schemas.openxmlformats.org/officeDocument/2006/relationships/image" Target="../media/image104.png"/><Relationship Id="rId44" Type="http://schemas.openxmlformats.org/officeDocument/2006/relationships/image" Target="../media/image105.jpeg"/><Relationship Id="rId45" Type="http://schemas.openxmlformats.org/officeDocument/2006/relationships/image" Target="../media/image106.jpeg"/><Relationship Id="rId46" Type="http://schemas.openxmlformats.org/officeDocument/2006/relationships/image" Target="../media/image107.jpg"/><Relationship Id="rId47" Type="http://schemas.openxmlformats.org/officeDocument/2006/relationships/image" Target="../media/image108.png"/><Relationship Id="rId48" Type="http://schemas.openxmlformats.org/officeDocument/2006/relationships/image" Target="../media/image109.jpeg"/><Relationship Id="rId49" Type="http://schemas.openxmlformats.org/officeDocument/2006/relationships/image" Target="../media/image110.jpeg"/><Relationship Id="rId50" Type="http://schemas.openxmlformats.org/officeDocument/2006/relationships/image" Target="../media/image111.jpeg"/><Relationship Id="rId51" Type="http://schemas.openxmlformats.org/officeDocument/2006/relationships/image" Target="../media/image112.jpg"/><Relationship Id="rId52" Type="http://schemas.openxmlformats.org/officeDocument/2006/relationships/image" Target="../media/image113.jpeg"/><Relationship Id="rId53" Type="http://schemas.openxmlformats.org/officeDocument/2006/relationships/image" Target="../media/image114.jpeg"/><Relationship Id="rId54" Type="http://schemas.openxmlformats.org/officeDocument/2006/relationships/image" Target="../media/image115.jpeg"/><Relationship Id="rId55" Type="http://schemas.openxmlformats.org/officeDocument/2006/relationships/image" Target="../media/image116.jpeg"/><Relationship Id="rId56" Type="http://schemas.openxmlformats.org/officeDocument/2006/relationships/image" Target="../media/image117.jpeg"/><Relationship Id="rId57" Type="http://schemas.openxmlformats.org/officeDocument/2006/relationships/image" Target="../media/image118.jpeg"/><Relationship Id="rId58" Type="http://schemas.openxmlformats.org/officeDocument/2006/relationships/image" Target="../media/image119.jpeg"/><Relationship Id="rId59" Type="http://schemas.openxmlformats.org/officeDocument/2006/relationships/image" Target="../media/image120.jpeg"/><Relationship Id="rId60" Type="http://schemas.openxmlformats.org/officeDocument/2006/relationships/image" Target="../media/image121.jpeg"/><Relationship Id="rId61" Type="http://schemas.openxmlformats.org/officeDocument/2006/relationships/image" Target="../media/image122.jpg"/><Relationship Id="rId62" Type="http://schemas.openxmlformats.org/officeDocument/2006/relationships/image" Target="../media/image123.jpeg"/><Relationship Id="rId63" Type="http://schemas.openxmlformats.org/officeDocument/2006/relationships/image" Target="../media/image124.jpeg"/><Relationship Id="rId64" Type="http://schemas.openxmlformats.org/officeDocument/2006/relationships/image" Target="../media/image125.jpg"/><Relationship Id="rId65" Type="http://schemas.openxmlformats.org/officeDocument/2006/relationships/image" Target="../media/image126.jpeg"/><Relationship Id="rId66" Type="http://schemas.openxmlformats.org/officeDocument/2006/relationships/image" Target="../media/image127.jpeg"/><Relationship Id="rId67" Type="http://schemas.openxmlformats.org/officeDocument/2006/relationships/image" Target="../media/image128.jpeg"/><Relationship Id="rId68" Type="http://schemas.openxmlformats.org/officeDocument/2006/relationships/image" Target="../media/image129.jpg"/><Relationship Id="rId69" Type="http://schemas.openxmlformats.org/officeDocument/2006/relationships/image" Target="../media/image130.jpg"/><Relationship Id="rId70" Type="http://schemas.openxmlformats.org/officeDocument/2006/relationships/image" Target="../media/image131.jpeg"/><Relationship Id="rId71" Type="http://schemas.openxmlformats.org/officeDocument/2006/relationships/image" Target="../media/image132.jpg"/><Relationship Id="rId72" Type="http://schemas.openxmlformats.org/officeDocument/2006/relationships/image" Target="../media/image133.jpeg"/><Relationship Id="rId73" Type="http://schemas.openxmlformats.org/officeDocument/2006/relationships/image" Target="../media/image134.jpeg"/><Relationship Id="rId74" Type="http://schemas.openxmlformats.org/officeDocument/2006/relationships/image" Target="../media/image135.jpeg"/><Relationship Id="rId75" Type="http://schemas.openxmlformats.org/officeDocument/2006/relationships/image" Target="../media/image136.jpeg"/><Relationship Id="rId76" Type="http://schemas.openxmlformats.org/officeDocument/2006/relationships/image" Target="../media/image137.jpg"/><Relationship Id="rId77" Type="http://schemas.openxmlformats.org/officeDocument/2006/relationships/image" Target="../media/image138.jpeg"/><Relationship Id="rId78" Type="http://schemas.openxmlformats.org/officeDocument/2006/relationships/image" Target="../media/image139.jpeg"/><Relationship Id="rId79" Type="http://schemas.openxmlformats.org/officeDocument/2006/relationships/image" Target="../media/image140.jpeg"/><Relationship Id="rId80" Type="http://schemas.openxmlformats.org/officeDocument/2006/relationships/image" Target="../media/image141.jpeg"/><Relationship Id="rId81" Type="http://schemas.openxmlformats.org/officeDocument/2006/relationships/image" Target="../media/image142.jpeg"/><Relationship Id="rId82" Type="http://schemas.openxmlformats.org/officeDocument/2006/relationships/image" Target="../media/image143.jpeg"/><Relationship Id="rId83" Type="http://schemas.openxmlformats.org/officeDocument/2006/relationships/image" Target="../media/image144.jpeg"/><Relationship Id="rId84" Type="http://schemas.openxmlformats.org/officeDocument/2006/relationships/image" Target="../media/image145.jpeg"/><Relationship Id="rId85" Type="http://schemas.openxmlformats.org/officeDocument/2006/relationships/image" Target="../media/image146.jpeg"/><Relationship Id="rId86" Type="http://schemas.openxmlformats.org/officeDocument/2006/relationships/image" Target="../media/image147.jpeg"/><Relationship Id="rId87" Type="http://schemas.openxmlformats.org/officeDocument/2006/relationships/image" Target="../media/image148.jpeg"/><Relationship Id="rId88" Type="http://schemas.openxmlformats.org/officeDocument/2006/relationships/image" Target="../media/image149.jpeg"/><Relationship Id="rId89" Type="http://schemas.openxmlformats.org/officeDocument/2006/relationships/image" Target="../media/image150.jpeg"/><Relationship Id="rId90" Type="http://schemas.openxmlformats.org/officeDocument/2006/relationships/image" Target="../media/image151.jpeg"/><Relationship Id="rId91" Type="http://schemas.openxmlformats.org/officeDocument/2006/relationships/image" Target="../media/image152.jpeg"/><Relationship Id="rId92" Type="http://schemas.openxmlformats.org/officeDocument/2006/relationships/image" Target="../media/image153.jpeg"/><Relationship Id="rId93" Type="http://schemas.openxmlformats.org/officeDocument/2006/relationships/image" Target="../media/image154.jpeg"/><Relationship Id="rId94" Type="http://schemas.openxmlformats.org/officeDocument/2006/relationships/image" Target="../media/image155.jpeg"/><Relationship Id="rId95" Type="http://schemas.openxmlformats.org/officeDocument/2006/relationships/image" Target="../media/image156.jpeg"/><Relationship Id="rId96" Type="http://schemas.openxmlformats.org/officeDocument/2006/relationships/image" Target="../media/image157.jpeg"/><Relationship Id="rId97" Type="http://schemas.openxmlformats.org/officeDocument/2006/relationships/image" Target="../media/image158.jpeg"/><Relationship Id="rId98" Type="http://schemas.openxmlformats.org/officeDocument/2006/relationships/image" Target="../media/image159.jpeg"/><Relationship Id="rId99" Type="http://schemas.openxmlformats.org/officeDocument/2006/relationships/image" Target="../media/image160.jpeg"/><Relationship Id="rId100" Type="http://schemas.openxmlformats.org/officeDocument/2006/relationships/image" Target="../media/image161.jpeg"/><Relationship Id="rId101" Type="http://schemas.openxmlformats.org/officeDocument/2006/relationships/image" Target="../media/image162.jpeg"/><Relationship Id="rId102" Type="http://schemas.openxmlformats.org/officeDocument/2006/relationships/image" Target="../media/image163.jpeg"/><Relationship Id="rId103" Type="http://schemas.openxmlformats.org/officeDocument/2006/relationships/image" Target="../media/image164.jpg"/><Relationship Id="rId104" Type="http://schemas.openxmlformats.org/officeDocument/2006/relationships/image" Target="../media/image165.jpg"/><Relationship Id="rId105" Type="http://schemas.openxmlformats.org/officeDocument/2006/relationships/image" Target="../media/image166.jpeg"/><Relationship Id="rId106" Type="http://schemas.openxmlformats.org/officeDocument/2006/relationships/image" Target="../media/image167.jpeg"/><Relationship Id="rId107" Type="http://schemas.openxmlformats.org/officeDocument/2006/relationships/image" Target="../media/image168.jpeg"/><Relationship Id="rId108" Type="http://schemas.openxmlformats.org/officeDocument/2006/relationships/image" Target="../media/image169.jpg"/><Relationship Id="rId109" Type="http://schemas.openxmlformats.org/officeDocument/2006/relationships/image" Target="../media/image170.jpeg"/><Relationship Id="rId110" Type="http://schemas.openxmlformats.org/officeDocument/2006/relationships/image" Target="../media/image171.jpeg"/><Relationship Id="rId111" Type="http://schemas.openxmlformats.org/officeDocument/2006/relationships/image" Target="../media/image172.png"/><Relationship Id="rId112" Type="http://schemas.openxmlformats.org/officeDocument/2006/relationships/image" Target="../media/image173.jpeg"/><Relationship Id="rId113" Type="http://schemas.openxmlformats.org/officeDocument/2006/relationships/image" Target="../media/image174.jpeg"/><Relationship Id="rId114" Type="http://schemas.openxmlformats.org/officeDocument/2006/relationships/image" Target="../media/image175.jpeg"/><Relationship Id="rId115" Type="http://schemas.openxmlformats.org/officeDocument/2006/relationships/image" Target="../media/image176.jpg"/><Relationship Id="rId116" Type="http://schemas.openxmlformats.org/officeDocument/2006/relationships/image" Target="../media/image177.jpg"/><Relationship Id="rId117" Type="http://schemas.openxmlformats.org/officeDocument/2006/relationships/image" Target="../media/image178.jpeg"/><Relationship Id="rId118" Type="http://schemas.openxmlformats.org/officeDocument/2006/relationships/image" Target="../media/image179.jpg"/><Relationship Id="rId119" Type="http://schemas.openxmlformats.org/officeDocument/2006/relationships/image" Target="../media/image180.jpeg"/><Relationship Id="rId120" Type="http://schemas.openxmlformats.org/officeDocument/2006/relationships/image" Target="../media/image181.jpg"/><Relationship Id="rId121" Type="http://schemas.openxmlformats.org/officeDocument/2006/relationships/image" Target="../media/image182.jpeg"/><Relationship Id="rId122" Type="http://schemas.openxmlformats.org/officeDocument/2006/relationships/image" Target="../media/image183.jpeg"/><Relationship Id="rId123" Type="http://schemas.openxmlformats.org/officeDocument/2006/relationships/image" Target="../media/image184.jpeg"/><Relationship Id="rId124" Type="http://schemas.openxmlformats.org/officeDocument/2006/relationships/image" Target="../media/image185.jpg"/><Relationship Id="rId125" Type="http://schemas.openxmlformats.org/officeDocument/2006/relationships/image" Target="../media/image186.jpeg"/><Relationship Id="rId126" Type="http://schemas.openxmlformats.org/officeDocument/2006/relationships/image" Target="../media/image187.jpeg"/><Relationship Id="rId127" Type="http://schemas.openxmlformats.org/officeDocument/2006/relationships/image" Target="../media/image188.jpg"/><Relationship Id="rId128" Type="http://schemas.openxmlformats.org/officeDocument/2006/relationships/image" Target="../media/image189.jpg"/><Relationship Id="rId129" Type="http://schemas.openxmlformats.org/officeDocument/2006/relationships/image" Target="../media/image190.jpeg"/><Relationship Id="rId130" Type="http://schemas.openxmlformats.org/officeDocument/2006/relationships/image" Target="../media/image191.png"/><Relationship Id="rId131" Type="http://schemas.openxmlformats.org/officeDocument/2006/relationships/image" Target="../media/image192.jpg"/><Relationship Id="rId132" Type="http://schemas.openxmlformats.org/officeDocument/2006/relationships/image" Target="../media/image193.jpg"/><Relationship Id="rId133" Type="http://schemas.openxmlformats.org/officeDocument/2006/relationships/image" Target="../media/image194.jpeg"/><Relationship Id="rId134" Type="http://schemas.openxmlformats.org/officeDocument/2006/relationships/image" Target="../media/image195.jpeg"/><Relationship Id="rId135" Type="http://schemas.openxmlformats.org/officeDocument/2006/relationships/image" Target="../media/image196.jpg"/><Relationship Id="rId136" Type="http://schemas.openxmlformats.org/officeDocument/2006/relationships/image" Target="../media/image197.jpg"/><Relationship Id="rId137" Type="http://schemas.openxmlformats.org/officeDocument/2006/relationships/image" Target="../media/image198.jpg"/><Relationship Id="rId138" Type="http://schemas.openxmlformats.org/officeDocument/2006/relationships/image" Target="../media/image199.jpeg"/><Relationship Id="rId139" Type="http://schemas.openxmlformats.org/officeDocument/2006/relationships/image" Target="../media/image200.jpeg"/><Relationship Id="rId140" Type="http://schemas.openxmlformats.org/officeDocument/2006/relationships/image" Target="../media/image201.jpg"/><Relationship Id="rId141" Type="http://schemas.openxmlformats.org/officeDocument/2006/relationships/image" Target="../media/image202.jpg"/><Relationship Id="rId142" Type="http://schemas.openxmlformats.org/officeDocument/2006/relationships/image" Target="../media/image203.jpg"/><Relationship Id="rId143" Type="http://schemas.openxmlformats.org/officeDocument/2006/relationships/image" Target="../media/image204.jpeg"/><Relationship Id="rId144" Type="http://schemas.openxmlformats.org/officeDocument/2006/relationships/image" Target="../media/image205.jpeg"/><Relationship Id="rId145" Type="http://schemas.openxmlformats.org/officeDocument/2006/relationships/image" Target="../media/image206.png"/><Relationship Id="rId146" Type="http://schemas.openxmlformats.org/officeDocument/2006/relationships/image" Target="../media/image207.jpeg"/><Relationship Id="rId147" Type="http://schemas.openxmlformats.org/officeDocument/2006/relationships/image" Target="../media/image208.jpg"/><Relationship Id="rId148" Type="http://schemas.openxmlformats.org/officeDocument/2006/relationships/image" Target="../media/image209.jpg"/><Relationship Id="rId149" Type="http://schemas.openxmlformats.org/officeDocument/2006/relationships/image" Target="../media/image210.jpeg"/><Relationship Id="rId150" Type="http://schemas.openxmlformats.org/officeDocument/2006/relationships/image" Target="../media/image211.jpg"/><Relationship Id="rId151" Type="http://schemas.openxmlformats.org/officeDocument/2006/relationships/image" Target="../media/image212.jpg"/><Relationship Id="rId152" Type="http://schemas.openxmlformats.org/officeDocument/2006/relationships/image" Target="../media/image213.jpeg"/><Relationship Id="rId153" Type="http://schemas.openxmlformats.org/officeDocument/2006/relationships/image" Target="../media/image214.jpg"/><Relationship Id="rId154" Type="http://schemas.openxmlformats.org/officeDocument/2006/relationships/image" Target="../media/image215.jpeg"/><Relationship Id="rId155" Type="http://schemas.openxmlformats.org/officeDocument/2006/relationships/image" Target="../media/image216.jpeg"/><Relationship Id="rId156" Type="http://schemas.openxmlformats.org/officeDocument/2006/relationships/image" Target="../media/image217.jpeg"/><Relationship Id="rId157" Type="http://schemas.openxmlformats.org/officeDocument/2006/relationships/image" Target="../media/image218.jpg"/><Relationship Id="rId158" Type="http://schemas.openxmlformats.org/officeDocument/2006/relationships/image" Target="../media/image219.jpg"/><Relationship Id="rId159" Type="http://schemas.openxmlformats.org/officeDocument/2006/relationships/image" Target="../media/image220.png"/><Relationship Id="rId160" Type="http://schemas.openxmlformats.org/officeDocument/2006/relationships/image" Target="../media/image221.jpg"/><Relationship Id="rId161" Type="http://schemas.openxmlformats.org/officeDocument/2006/relationships/image" Target="../media/image222.jpg"/><Relationship Id="rId162" Type="http://schemas.openxmlformats.org/officeDocument/2006/relationships/image" Target="../media/image223.jpg"/><Relationship Id="rId163" Type="http://schemas.openxmlformats.org/officeDocument/2006/relationships/image" Target="../media/image224.jpg"/><Relationship Id="rId164" Type="http://schemas.openxmlformats.org/officeDocument/2006/relationships/image" Target="../media/image225.jpeg"/><Relationship Id="rId165" Type="http://schemas.openxmlformats.org/officeDocument/2006/relationships/image" Target="../media/image226.jpg"/><Relationship Id="rId166" Type="http://schemas.openxmlformats.org/officeDocument/2006/relationships/image" Target="../media/image227.jpg"/><Relationship Id="rId167" Type="http://schemas.openxmlformats.org/officeDocument/2006/relationships/image" Target="../media/image228.jpg"/><Relationship Id="rId168" Type="http://schemas.openxmlformats.org/officeDocument/2006/relationships/image" Target="../media/image229.jpeg"/><Relationship Id="rId169" Type="http://schemas.openxmlformats.org/officeDocument/2006/relationships/image" Target="../media/image230.jpg"/><Relationship Id="rId170" Type="http://schemas.openxmlformats.org/officeDocument/2006/relationships/image" Target="../media/image231.jpg"/><Relationship Id="rId171" Type="http://schemas.openxmlformats.org/officeDocument/2006/relationships/image" Target="../media/image232.jpeg"/><Relationship Id="rId172" Type="http://schemas.openxmlformats.org/officeDocument/2006/relationships/image" Target="../media/image233.jpg"/><Relationship Id="rId173" Type="http://schemas.openxmlformats.org/officeDocument/2006/relationships/image" Target="../media/image234.jpeg"/><Relationship Id="rId174" Type="http://schemas.openxmlformats.org/officeDocument/2006/relationships/image" Target="../media/image235.png"/><Relationship Id="rId175" Type="http://schemas.openxmlformats.org/officeDocument/2006/relationships/image" Target="../media/image236.jpeg"/><Relationship Id="rId176" Type="http://schemas.openxmlformats.org/officeDocument/2006/relationships/image" Target="../media/image237.jpeg"/><Relationship Id="rId177" Type="http://schemas.openxmlformats.org/officeDocument/2006/relationships/image" Target="../media/image238.jpeg"/><Relationship Id="rId178" Type="http://schemas.openxmlformats.org/officeDocument/2006/relationships/image" Target="../media/image239.jpeg"/><Relationship Id="rId179" Type="http://schemas.openxmlformats.org/officeDocument/2006/relationships/image" Target="../media/image240.jpeg"/><Relationship Id="rId180" Type="http://schemas.openxmlformats.org/officeDocument/2006/relationships/image" Target="../media/image241.jpg"/><Relationship Id="rId181" Type="http://schemas.openxmlformats.org/officeDocument/2006/relationships/image" Target="../media/image242.jpg"/><Relationship Id="rId182" Type="http://schemas.openxmlformats.org/officeDocument/2006/relationships/image" Target="../media/image243.jpg"/><Relationship Id="rId183" Type="http://schemas.openxmlformats.org/officeDocument/2006/relationships/image" Target="../media/image244.jpeg"/><Relationship Id="rId184" Type="http://schemas.openxmlformats.org/officeDocument/2006/relationships/image" Target="../media/image245.jpg"/><Relationship Id="rId185" Type="http://schemas.openxmlformats.org/officeDocument/2006/relationships/image" Target="../media/image246.jpg"/><Relationship Id="rId186" Type="http://schemas.openxmlformats.org/officeDocument/2006/relationships/image" Target="../media/image247.jpg"/><Relationship Id="rId187" Type="http://schemas.openxmlformats.org/officeDocument/2006/relationships/image" Target="../media/image248.jpg"/><Relationship Id="rId188" Type="http://schemas.openxmlformats.org/officeDocument/2006/relationships/image" Target="../media/image249.jpg"/><Relationship Id="rId189" Type="http://schemas.openxmlformats.org/officeDocument/2006/relationships/image" Target="../media/image250.jpg"/><Relationship Id="rId190" Type="http://schemas.openxmlformats.org/officeDocument/2006/relationships/image" Target="../media/image251.jpg"/><Relationship Id="rId191" Type="http://schemas.openxmlformats.org/officeDocument/2006/relationships/image" Target="../media/image252.jpg"/><Relationship Id="rId192" Type="http://schemas.openxmlformats.org/officeDocument/2006/relationships/image" Target="../media/image253.jpg"/><Relationship Id="rId193" Type="http://schemas.openxmlformats.org/officeDocument/2006/relationships/image" Target="../media/image254.jpeg"/><Relationship Id="rId194" Type="http://schemas.openxmlformats.org/officeDocument/2006/relationships/image" Target="../media/image255.jpeg"/><Relationship Id="rId195" Type="http://schemas.openxmlformats.org/officeDocument/2006/relationships/image" Target="../media/image256.jpeg"/><Relationship Id="rId196" Type="http://schemas.openxmlformats.org/officeDocument/2006/relationships/image" Target="../media/image257.jpeg"/><Relationship Id="rId197" Type="http://schemas.openxmlformats.org/officeDocument/2006/relationships/image" Target="../media/image258.jpe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259.jpeg"/><Relationship Id="rId2" Type="http://schemas.openxmlformats.org/officeDocument/2006/relationships/image" Target="../media/image260.jpg"/><Relationship Id="rId3" Type="http://schemas.openxmlformats.org/officeDocument/2006/relationships/image" Target="../media/image261.jpeg"/><Relationship Id="rId4" Type="http://schemas.openxmlformats.org/officeDocument/2006/relationships/image" Target="../media/image262.png"/><Relationship Id="rId5" Type="http://schemas.openxmlformats.org/officeDocument/2006/relationships/image" Target="../media/image263.jpg"/><Relationship Id="rId6" Type="http://schemas.openxmlformats.org/officeDocument/2006/relationships/image" Target="../media/image264.jpeg"/><Relationship Id="rId7" Type="http://schemas.openxmlformats.org/officeDocument/2006/relationships/image" Target="../media/image265.jpg"/><Relationship Id="rId8" Type="http://schemas.openxmlformats.org/officeDocument/2006/relationships/image" Target="../media/image266.jpg"/><Relationship Id="rId9" Type="http://schemas.openxmlformats.org/officeDocument/2006/relationships/image" Target="../media/image267.jpg"/><Relationship Id="rId10" Type="http://schemas.openxmlformats.org/officeDocument/2006/relationships/image" Target="../media/image268.jpg"/><Relationship Id="rId11" Type="http://schemas.openxmlformats.org/officeDocument/2006/relationships/image" Target="../media/image269.png"/><Relationship Id="rId12" Type="http://schemas.openxmlformats.org/officeDocument/2006/relationships/image" Target="../media/image270.jpg"/><Relationship Id="rId13" Type="http://schemas.openxmlformats.org/officeDocument/2006/relationships/image" Target="../media/image271.jpeg"/><Relationship Id="rId14" Type="http://schemas.openxmlformats.org/officeDocument/2006/relationships/image" Target="../media/image272.jpeg"/><Relationship Id="rId15" Type="http://schemas.openxmlformats.org/officeDocument/2006/relationships/image" Target="../media/image273.jpeg"/><Relationship Id="rId16" Type="http://schemas.openxmlformats.org/officeDocument/2006/relationships/image" Target="../media/image274.png"/><Relationship Id="rId17" Type="http://schemas.openxmlformats.org/officeDocument/2006/relationships/image" Target="../media/image275.jpeg"/><Relationship Id="rId18" Type="http://schemas.openxmlformats.org/officeDocument/2006/relationships/image" Target="../media/image276.jpg"/><Relationship Id="rId19" Type="http://schemas.openxmlformats.org/officeDocument/2006/relationships/image" Target="../media/image277.png"/><Relationship Id="rId20" Type="http://schemas.openxmlformats.org/officeDocument/2006/relationships/image" Target="../media/image278.png"/><Relationship Id="rId21" Type="http://schemas.openxmlformats.org/officeDocument/2006/relationships/image" Target="../media/image279.jpg"/><Relationship Id="rId22" Type="http://schemas.openxmlformats.org/officeDocument/2006/relationships/image" Target="../media/image280.jpeg"/><Relationship Id="rId23" Type="http://schemas.openxmlformats.org/officeDocument/2006/relationships/image" Target="../media/image281.jpeg"/><Relationship Id="rId24" Type="http://schemas.openxmlformats.org/officeDocument/2006/relationships/image" Target="../media/image282.jpeg"/><Relationship Id="rId25" Type="http://schemas.openxmlformats.org/officeDocument/2006/relationships/image" Target="../media/image283.jpeg"/><Relationship Id="rId26" Type="http://schemas.openxmlformats.org/officeDocument/2006/relationships/image" Target="../media/image284.jpeg"/><Relationship Id="rId27" Type="http://schemas.openxmlformats.org/officeDocument/2006/relationships/image" Target="../media/image285.jpeg"/><Relationship Id="rId28" Type="http://schemas.openxmlformats.org/officeDocument/2006/relationships/image" Target="../media/image286.jpeg"/><Relationship Id="rId29" Type="http://schemas.openxmlformats.org/officeDocument/2006/relationships/image" Target="../media/image287.png"/><Relationship Id="rId30" Type="http://schemas.openxmlformats.org/officeDocument/2006/relationships/image" Target="../media/image288.png"/><Relationship Id="rId31" Type="http://schemas.openxmlformats.org/officeDocument/2006/relationships/image" Target="../media/image289.jpeg"/><Relationship Id="rId32" Type="http://schemas.openxmlformats.org/officeDocument/2006/relationships/image" Target="../media/image290.jpg"/><Relationship Id="rId33" Type="http://schemas.openxmlformats.org/officeDocument/2006/relationships/image" Target="../media/image291.jpeg"/><Relationship Id="rId34" Type="http://schemas.openxmlformats.org/officeDocument/2006/relationships/image" Target="../media/image292.jpeg"/><Relationship Id="rId35" Type="http://schemas.openxmlformats.org/officeDocument/2006/relationships/image" Target="../media/image293.jpeg"/><Relationship Id="rId36" Type="http://schemas.openxmlformats.org/officeDocument/2006/relationships/image" Target="../media/image294.jpg"/><Relationship Id="rId37" Type="http://schemas.openxmlformats.org/officeDocument/2006/relationships/image" Target="../media/image295.jpg"/><Relationship Id="rId38" Type="http://schemas.openxmlformats.org/officeDocument/2006/relationships/image" Target="../media/image296.jpeg"/><Relationship Id="rId39" Type="http://schemas.openxmlformats.org/officeDocument/2006/relationships/image" Target="../media/image297.png"/><Relationship Id="rId40" Type="http://schemas.openxmlformats.org/officeDocument/2006/relationships/image" Target="../media/image298.jpeg"/><Relationship Id="rId41" Type="http://schemas.openxmlformats.org/officeDocument/2006/relationships/image" Target="../media/image299.jpeg"/><Relationship Id="rId42" Type="http://schemas.openxmlformats.org/officeDocument/2006/relationships/image" Target="../media/image300.jpeg"/><Relationship Id="rId43" Type="http://schemas.openxmlformats.org/officeDocument/2006/relationships/image" Target="../media/image301.jpeg"/><Relationship Id="rId44" Type="http://schemas.openxmlformats.org/officeDocument/2006/relationships/image" Target="../media/image302.png"/><Relationship Id="rId45" Type="http://schemas.openxmlformats.org/officeDocument/2006/relationships/image" Target="../media/image303.jpg"/><Relationship Id="rId46" Type="http://schemas.openxmlformats.org/officeDocument/2006/relationships/image" Target="../media/image304.jpg"/><Relationship Id="rId47" Type="http://schemas.openxmlformats.org/officeDocument/2006/relationships/image" Target="../media/image305.jpg"/><Relationship Id="rId48" Type="http://schemas.openxmlformats.org/officeDocument/2006/relationships/image" Target="../media/image306.jpeg"/><Relationship Id="rId49" Type="http://schemas.openxmlformats.org/officeDocument/2006/relationships/image" Target="../media/image307.jpeg"/><Relationship Id="rId50" Type="http://schemas.openxmlformats.org/officeDocument/2006/relationships/image" Target="../media/image308.jpeg"/><Relationship Id="rId51" Type="http://schemas.openxmlformats.org/officeDocument/2006/relationships/image" Target="../media/image309.jpeg"/><Relationship Id="rId52" Type="http://schemas.openxmlformats.org/officeDocument/2006/relationships/image" Target="../media/image310.jpeg"/><Relationship Id="rId53" Type="http://schemas.openxmlformats.org/officeDocument/2006/relationships/image" Target="../media/image311.jpe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312.jpg"/><Relationship Id="rId2" Type="http://schemas.openxmlformats.org/officeDocument/2006/relationships/image" Target="../media/image313.jpg"/><Relationship Id="rId3" Type="http://schemas.openxmlformats.org/officeDocument/2006/relationships/image" Target="../media/image314.jpg"/><Relationship Id="rId4" Type="http://schemas.openxmlformats.org/officeDocument/2006/relationships/image" Target="../media/image315.jpeg"/><Relationship Id="rId5" Type="http://schemas.openxmlformats.org/officeDocument/2006/relationships/image" Target="../media/image316.png"/><Relationship Id="rId6" Type="http://schemas.openxmlformats.org/officeDocument/2006/relationships/image" Target="../media/image317.jpeg"/><Relationship Id="rId7" Type="http://schemas.openxmlformats.org/officeDocument/2006/relationships/image" Target="../media/image318.jpg"/><Relationship Id="rId8" Type="http://schemas.openxmlformats.org/officeDocument/2006/relationships/image" Target="../media/image319.jpeg"/><Relationship Id="rId9" Type="http://schemas.openxmlformats.org/officeDocument/2006/relationships/image" Target="../media/image320.jpeg"/><Relationship Id="rId10" Type="http://schemas.openxmlformats.org/officeDocument/2006/relationships/image" Target="../media/image321.jpeg"/><Relationship Id="rId11" Type="http://schemas.openxmlformats.org/officeDocument/2006/relationships/image" Target="../media/image322.jpeg"/><Relationship Id="rId12" Type="http://schemas.openxmlformats.org/officeDocument/2006/relationships/image" Target="../media/image323.jpg"/><Relationship Id="rId13" Type="http://schemas.openxmlformats.org/officeDocument/2006/relationships/image" Target="../media/image324.jpg"/><Relationship Id="rId14" Type="http://schemas.openxmlformats.org/officeDocument/2006/relationships/image" Target="../media/image325.jpg"/><Relationship Id="rId15" Type="http://schemas.openxmlformats.org/officeDocument/2006/relationships/image" Target="../media/image326.jpeg"/><Relationship Id="rId16" Type="http://schemas.openxmlformats.org/officeDocument/2006/relationships/image" Target="../media/image327.jpeg"/><Relationship Id="rId17" Type="http://schemas.openxmlformats.org/officeDocument/2006/relationships/image" Target="../media/image328.jpeg"/><Relationship Id="rId18" Type="http://schemas.openxmlformats.org/officeDocument/2006/relationships/image" Target="../media/image329.jpg"/><Relationship Id="rId19" Type="http://schemas.openxmlformats.org/officeDocument/2006/relationships/image" Target="../media/image330.jpg"/><Relationship Id="rId20" Type="http://schemas.openxmlformats.org/officeDocument/2006/relationships/image" Target="../media/image331.jpeg"/><Relationship Id="rId21" Type="http://schemas.openxmlformats.org/officeDocument/2006/relationships/image" Target="../media/image332.jpeg"/><Relationship Id="rId22" Type="http://schemas.openxmlformats.org/officeDocument/2006/relationships/image" Target="../media/image333.png"/><Relationship Id="rId23" Type="http://schemas.openxmlformats.org/officeDocument/2006/relationships/image" Target="../media/image334.jpg"/><Relationship Id="rId24" Type="http://schemas.openxmlformats.org/officeDocument/2006/relationships/image" Target="../media/image335.jpeg"/><Relationship Id="rId25" Type="http://schemas.openxmlformats.org/officeDocument/2006/relationships/image" Target="../media/image336.jpg"/><Relationship Id="rId26" Type="http://schemas.openxmlformats.org/officeDocument/2006/relationships/image" Target="../media/image337.png"/><Relationship Id="rId27" Type="http://schemas.openxmlformats.org/officeDocument/2006/relationships/image" Target="../media/image338.jpeg"/><Relationship Id="rId28" Type="http://schemas.openxmlformats.org/officeDocument/2006/relationships/image" Target="../media/image339.jpeg"/><Relationship Id="rId29" Type="http://schemas.openxmlformats.org/officeDocument/2006/relationships/image" Target="../media/image340.jpeg"/><Relationship Id="rId30" Type="http://schemas.openxmlformats.org/officeDocument/2006/relationships/image" Target="../media/image341.jpg"/><Relationship Id="rId31" Type="http://schemas.openxmlformats.org/officeDocument/2006/relationships/image" Target="../media/image342.jpeg"/><Relationship Id="rId32" Type="http://schemas.openxmlformats.org/officeDocument/2006/relationships/image" Target="../media/image343.jpeg"/><Relationship Id="rId33" Type="http://schemas.openxmlformats.org/officeDocument/2006/relationships/image" Target="../media/image344.jpg"/><Relationship Id="rId34" Type="http://schemas.openxmlformats.org/officeDocument/2006/relationships/image" Target="../media/image345.jpeg"/><Relationship Id="rId35" Type="http://schemas.openxmlformats.org/officeDocument/2006/relationships/image" Target="../media/image346.jpeg"/><Relationship Id="rId36" Type="http://schemas.openxmlformats.org/officeDocument/2006/relationships/image" Target="../media/image347.jpeg"/><Relationship Id="rId37" Type="http://schemas.openxmlformats.org/officeDocument/2006/relationships/image" Target="../media/image348.jpg"/><Relationship Id="rId38" Type="http://schemas.openxmlformats.org/officeDocument/2006/relationships/image" Target="../media/image349.jpeg"/><Relationship Id="rId39" Type="http://schemas.openxmlformats.org/officeDocument/2006/relationships/image" Target="../media/image350.jpeg"/><Relationship Id="rId40" Type="http://schemas.openxmlformats.org/officeDocument/2006/relationships/image" Target="../media/image351.jpeg"/><Relationship Id="rId41" Type="http://schemas.openxmlformats.org/officeDocument/2006/relationships/image" Target="../media/image352.png"/><Relationship Id="rId42" Type="http://schemas.openxmlformats.org/officeDocument/2006/relationships/image" Target="../media/image353.jpeg"/><Relationship Id="rId43" Type="http://schemas.openxmlformats.org/officeDocument/2006/relationships/image" Target="../media/image354.jpeg"/><Relationship Id="rId44" Type="http://schemas.openxmlformats.org/officeDocument/2006/relationships/image" Target="../media/image355.jpeg"/><Relationship Id="rId45" Type="http://schemas.openxmlformats.org/officeDocument/2006/relationships/image" Target="../media/image356.jpeg"/><Relationship Id="rId46" Type="http://schemas.openxmlformats.org/officeDocument/2006/relationships/image" Target="../media/image357.jpeg"/><Relationship Id="rId47" Type="http://schemas.openxmlformats.org/officeDocument/2006/relationships/image" Target="../media/image358.jpeg"/><Relationship Id="rId48" Type="http://schemas.openxmlformats.org/officeDocument/2006/relationships/image" Target="../media/image359.jpeg"/><Relationship Id="rId49" Type="http://schemas.openxmlformats.org/officeDocument/2006/relationships/image" Target="../media/image360.jpeg"/><Relationship Id="rId50" Type="http://schemas.openxmlformats.org/officeDocument/2006/relationships/image" Target="../media/image361.jpeg"/><Relationship Id="rId51" Type="http://schemas.openxmlformats.org/officeDocument/2006/relationships/image" Target="../media/image362.jpg"/><Relationship Id="rId52" Type="http://schemas.openxmlformats.org/officeDocument/2006/relationships/image" Target="../media/image363.jpg"/><Relationship Id="rId53" Type="http://schemas.openxmlformats.org/officeDocument/2006/relationships/image" Target="../media/image364.jpg"/><Relationship Id="rId54" Type="http://schemas.openxmlformats.org/officeDocument/2006/relationships/image" Target="../media/image365.jpeg"/><Relationship Id="rId55" Type="http://schemas.openxmlformats.org/officeDocument/2006/relationships/image" Target="../media/image366.jpeg"/><Relationship Id="rId56" Type="http://schemas.openxmlformats.org/officeDocument/2006/relationships/image" Target="../media/image367.jpeg"/><Relationship Id="rId57" Type="http://schemas.openxmlformats.org/officeDocument/2006/relationships/image" Target="../media/image368.jpg"/><Relationship Id="rId58" Type="http://schemas.openxmlformats.org/officeDocument/2006/relationships/image" Target="../media/image369.jpeg"/><Relationship Id="rId59" Type="http://schemas.openxmlformats.org/officeDocument/2006/relationships/image" Target="../media/image370.jpeg"/><Relationship Id="rId60" Type="http://schemas.openxmlformats.org/officeDocument/2006/relationships/image" Target="../media/image371.jpeg"/><Relationship Id="rId61" Type="http://schemas.openxmlformats.org/officeDocument/2006/relationships/image" Target="../media/image372.jpg"/><Relationship Id="rId62" Type="http://schemas.openxmlformats.org/officeDocument/2006/relationships/image" Target="../media/image373.jpeg"/><Relationship Id="rId63" Type="http://schemas.openxmlformats.org/officeDocument/2006/relationships/image" Target="../media/image374.jpeg"/><Relationship Id="rId64" Type="http://schemas.openxmlformats.org/officeDocument/2006/relationships/image" Target="../media/image375.jpg"/><Relationship Id="rId65" Type="http://schemas.openxmlformats.org/officeDocument/2006/relationships/image" Target="../media/image376.jpg"/><Relationship Id="rId66" Type="http://schemas.openxmlformats.org/officeDocument/2006/relationships/image" Target="../media/image377.jpg"/><Relationship Id="rId67" Type="http://schemas.openxmlformats.org/officeDocument/2006/relationships/image" Target="../media/image378.jpeg"/><Relationship Id="rId68" Type="http://schemas.openxmlformats.org/officeDocument/2006/relationships/image" Target="../media/image379.jpeg"/><Relationship Id="rId69" Type="http://schemas.openxmlformats.org/officeDocument/2006/relationships/image" Target="../media/image380.jpg"/><Relationship Id="rId70" Type="http://schemas.openxmlformats.org/officeDocument/2006/relationships/image" Target="../media/image381.jpg"/><Relationship Id="rId71" Type="http://schemas.openxmlformats.org/officeDocument/2006/relationships/image" Target="../media/image382.jpeg"/><Relationship Id="rId72" Type="http://schemas.openxmlformats.org/officeDocument/2006/relationships/image" Target="../media/image383.jpeg"/><Relationship Id="rId73" Type="http://schemas.openxmlformats.org/officeDocument/2006/relationships/image" Target="../media/image384.jpeg"/><Relationship Id="rId74" Type="http://schemas.openxmlformats.org/officeDocument/2006/relationships/image" Target="../media/image385.jpeg"/><Relationship Id="rId75" Type="http://schemas.openxmlformats.org/officeDocument/2006/relationships/image" Target="../media/image386.jpeg"/><Relationship Id="rId76" Type="http://schemas.openxmlformats.org/officeDocument/2006/relationships/image" Target="../media/image387.jpeg"/><Relationship Id="rId77" Type="http://schemas.openxmlformats.org/officeDocument/2006/relationships/image" Target="../media/image388.jpeg"/><Relationship Id="rId78" Type="http://schemas.openxmlformats.org/officeDocument/2006/relationships/image" Target="../media/image389.jpg"/><Relationship Id="rId79" Type="http://schemas.openxmlformats.org/officeDocument/2006/relationships/image" Target="../media/image390.jpg"/><Relationship Id="rId80" Type="http://schemas.openxmlformats.org/officeDocument/2006/relationships/image" Target="../media/image391.jpg"/><Relationship Id="rId81" Type="http://schemas.openxmlformats.org/officeDocument/2006/relationships/image" Target="../media/image392.jpeg"/><Relationship Id="rId82" Type="http://schemas.openxmlformats.org/officeDocument/2006/relationships/image" Target="../media/image393.jpg"/><Relationship Id="rId83" Type="http://schemas.openxmlformats.org/officeDocument/2006/relationships/image" Target="../media/image394.jpeg"/><Relationship Id="rId84" Type="http://schemas.openxmlformats.org/officeDocument/2006/relationships/image" Target="../media/image395.jpeg"/><Relationship Id="rId85" Type="http://schemas.openxmlformats.org/officeDocument/2006/relationships/image" Target="../media/image396.jpeg"/><Relationship Id="rId86" Type="http://schemas.openxmlformats.org/officeDocument/2006/relationships/image" Target="../media/image397.jpeg"/><Relationship Id="rId87" Type="http://schemas.openxmlformats.org/officeDocument/2006/relationships/image" Target="../media/image398.jpeg"/><Relationship Id="rId88" Type="http://schemas.openxmlformats.org/officeDocument/2006/relationships/image" Target="../media/image399.jpeg"/><Relationship Id="rId89" Type="http://schemas.openxmlformats.org/officeDocument/2006/relationships/image" Target="../media/image400.jpg"/><Relationship Id="rId90" Type="http://schemas.openxmlformats.org/officeDocument/2006/relationships/image" Target="../media/image401.jpeg"/><Relationship Id="rId91" Type="http://schemas.openxmlformats.org/officeDocument/2006/relationships/image" Target="../media/image402.jpeg"/><Relationship Id="rId92" Type="http://schemas.openxmlformats.org/officeDocument/2006/relationships/image" Target="../media/image403.jpg"/><Relationship Id="rId93" Type="http://schemas.openxmlformats.org/officeDocument/2006/relationships/image" Target="../media/image404.jpg"/><Relationship Id="rId94" Type="http://schemas.openxmlformats.org/officeDocument/2006/relationships/image" Target="../media/image405.jpg"/><Relationship Id="rId95" Type="http://schemas.openxmlformats.org/officeDocument/2006/relationships/image" Target="../media/image406.jpeg"/><Relationship Id="rId96" Type="http://schemas.openxmlformats.org/officeDocument/2006/relationships/image" Target="../media/image407.jpg"/><Relationship Id="rId97" Type="http://schemas.openxmlformats.org/officeDocument/2006/relationships/image" Target="../media/image408.jpg"/><Relationship Id="rId98" Type="http://schemas.openxmlformats.org/officeDocument/2006/relationships/image" Target="../media/image409.jpg"/><Relationship Id="rId99" Type="http://schemas.openxmlformats.org/officeDocument/2006/relationships/image" Target="../media/image410.jpg"/><Relationship Id="rId100" Type="http://schemas.openxmlformats.org/officeDocument/2006/relationships/image" Target="../media/image411.jpg"/><Relationship Id="rId101" Type="http://schemas.openxmlformats.org/officeDocument/2006/relationships/image" Target="../media/image412.jpeg"/><Relationship Id="rId102" Type="http://schemas.openxmlformats.org/officeDocument/2006/relationships/image" Target="../media/image413.jpeg"/><Relationship Id="rId103" Type="http://schemas.openxmlformats.org/officeDocument/2006/relationships/image" Target="../media/image414.jpeg"/><Relationship Id="rId104" Type="http://schemas.openxmlformats.org/officeDocument/2006/relationships/image" Target="../media/image415.jpeg"/><Relationship Id="rId105" Type="http://schemas.openxmlformats.org/officeDocument/2006/relationships/image" Target="../media/image416.jpeg"/><Relationship Id="rId106" Type="http://schemas.openxmlformats.org/officeDocument/2006/relationships/image" Target="../media/image417.jpeg"/><Relationship Id="rId107" Type="http://schemas.openxmlformats.org/officeDocument/2006/relationships/image" Target="../media/image418.jpeg"/><Relationship Id="rId108" Type="http://schemas.openxmlformats.org/officeDocument/2006/relationships/image" Target="../media/image419.jpg"/><Relationship Id="rId109" Type="http://schemas.openxmlformats.org/officeDocument/2006/relationships/image" Target="../media/image420.jpg"/><Relationship Id="rId110" Type="http://schemas.openxmlformats.org/officeDocument/2006/relationships/image" Target="../media/image421.jpeg"/><Relationship Id="rId111" Type="http://schemas.openxmlformats.org/officeDocument/2006/relationships/image" Target="../media/image422.jpeg"/><Relationship Id="rId112" Type="http://schemas.openxmlformats.org/officeDocument/2006/relationships/image" Target="../media/image423.jpeg"/><Relationship Id="rId113" Type="http://schemas.openxmlformats.org/officeDocument/2006/relationships/image" Target="../media/image424.jpg"/><Relationship Id="rId114" Type="http://schemas.openxmlformats.org/officeDocument/2006/relationships/image" Target="../media/image425.jpeg"/><Relationship Id="rId115" Type="http://schemas.openxmlformats.org/officeDocument/2006/relationships/image" Target="../media/image426.jpeg"/><Relationship Id="rId116" Type="http://schemas.openxmlformats.org/officeDocument/2006/relationships/image" Target="../media/image427.jpeg"/><Relationship Id="rId117" Type="http://schemas.openxmlformats.org/officeDocument/2006/relationships/image" Target="../media/image428.jpeg"/><Relationship Id="rId118" Type="http://schemas.openxmlformats.org/officeDocument/2006/relationships/image" Target="../media/image429.jpeg"/><Relationship Id="rId119" Type="http://schemas.openxmlformats.org/officeDocument/2006/relationships/image" Target="../media/image430.jpeg"/><Relationship Id="rId120" Type="http://schemas.openxmlformats.org/officeDocument/2006/relationships/image" Target="../media/image431.jpeg"/><Relationship Id="rId121" Type="http://schemas.openxmlformats.org/officeDocument/2006/relationships/image" Target="../media/image432.jpeg"/><Relationship Id="rId122" Type="http://schemas.openxmlformats.org/officeDocument/2006/relationships/image" Target="../media/image433.jpeg"/><Relationship Id="rId123" Type="http://schemas.openxmlformats.org/officeDocument/2006/relationships/image" Target="../media/image434.jpg"/><Relationship Id="rId124" Type="http://schemas.openxmlformats.org/officeDocument/2006/relationships/image" Target="../media/image435.jpg"/><Relationship Id="rId125" Type="http://schemas.openxmlformats.org/officeDocument/2006/relationships/image" Target="../media/image436.jpeg"/><Relationship Id="rId126" Type="http://schemas.openxmlformats.org/officeDocument/2006/relationships/image" Target="../media/image437.jpeg"/><Relationship Id="rId127" Type="http://schemas.openxmlformats.org/officeDocument/2006/relationships/image" Target="../media/image438.jpeg"/><Relationship Id="rId128" Type="http://schemas.openxmlformats.org/officeDocument/2006/relationships/image" Target="../media/image439.jpg"/><Relationship Id="rId129" Type="http://schemas.openxmlformats.org/officeDocument/2006/relationships/image" Target="../media/image440.jpeg"/><Relationship Id="rId130" Type="http://schemas.openxmlformats.org/officeDocument/2006/relationships/image" Target="../media/image441.jpeg"/><Relationship Id="rId131" Type="http://schemas.openxmlformats.org/officeDocument/2006/relationships/image" Target="../media/image442.png"/><Relationship Id="rId132" Type="http://schemas.openxmlformats.org/officeDocument/2006/relationships/image" Target="../media/image443.jpeg"/><Relationship Id="rId133" Type="http://schemas.openxmlformats.org/officeDocument/2006/relationships/image" Target="../media/image444.jpeg"/><Relationship Id="rId134" Type="http://schemas.openxmlformats.org/officeDocument/2006/relationships/image" Target="../media/image445.jpeg"/><Relationship Id="rId135" Type="http://schemas.openxmlformats.org/officeDocument/2006/relationships/image" Target="../media/image446.jpg"/><Relationship Id="rId136" Type="http://schemas.openxmlformats.org/officeDocument/2006/relationships/image" Target="../media/image447.jpg"/><Relationship Id="rId137" Type="http://schemas.openxmlformats.org/officeDocument/2006/relationships/image" Target="../media/image448.jpeg"/><Relationship Id="rId138" Type="http://schemas.openxmlformats.org/officeDocument/2006/relationships/image" Target="../media/image449.jpg"/><Relationship Id="rId139" Type="http://schemas.openxmlformats.org/officeDocument/2006/relationships/image" Target="../media/image450.jpeg"/><Relationship Id="rId140" Type="http://schemas.openxmlformats.org/officeDocument/2006/relationships/image" Target="../media/image451.jpg"/><Relationship Id="rId141" Type="http://schemas.openxmlformats.org/officeDocument/2006/relationships/image" Target="../media/image452.jpeg"/><Relationship Id="rId142" Type="http://schemas.openxmlformats.org/officeDocument/2006/relationships/image" Target="../media/image453.jpeg"/><Relationship Id="rId143" Type="http://schemas.openxmlformats.org/officeDocument/2006/relationships/image" Target="../media/image454.jpeg"/><Relationship Id="rId144" Type="http://schemas.openxmlformats.org/officeDocument/2006/relationships/image" Target="../media/image455.jpg"/><Relationship Id="rId145" Type="http://schemas.openxmlformats.org/officeDocument/2006/relationships/image" Target="../media/image456.jpeg"/><Relationship Id="rId146" Type="http://schemas.openxmlformats.org/officeDocument/2006/relationships/image" Target="../media/image457.jpeg"/><Relationship Id="rId147" Type="http://schemas.openxmlformats.org/officeDocument/2006/relationships/image" Target="../media/image458.jpg"/><Relationship Id="rId148" Type="http://schemas.openxmlformats.org/officeDocument/2006/relationships/image" Target="../media/image459.jpg"/><Relationship Id="rId149" Type="http://schemas.openxmlformats.org/officeDocument/2006/relationships/image" Target="../media/image460.jpeg"/><Relationship Id="rId150" Type="http://schemas.openxmlformats.org/officeDocument/2006/relationships/image" Target="../media/image461.png"/><Relationship Id="rId151" Type="http://schemas.openxmlformats.org/officeDocument/2006/relationships/image" Target="../media/image462.jpg"/><Relationship Id="rId152" Type="http://schemas.openxmlformats.org/officeDocument/2006/relationships/image" Target="../media/image463.jpg"/><Relationship Id="rId153" Type="http://schemas.openxmlformats.org/officeDocument/2006/relationships/image" Target="../media/image464.jpeg"/><Relationship Id="rId154" Type="http://schemas.openxmlformats.org/officeDocument/2006/relationships/image" Target="../media/image465.jpeg"/><Relationship Id="rId155" Type="http://schemas.openxmlformats.org/officeDocument/2006/relationships/image" Target="../media/image466.jpg"/><Relationship Id="rId156" Type="http://schemas.openxmlformats.org/officeDocument/2006/relationships/image" Target="../media/image467.jpg"/><Relationship Id="rId157" Type="http://schemas.openxmlformats.org/officeDocument/2006/relationships/image" Target="../media/image468.jpg"/><Relationship Id="rId158" Type="http://schemas.openxmlformats.org/officeDocument/2006/relationships/image" Target="../media/image469.jpeg"/><Relationship Id="rId159" Type="http://schemas.openxmlformats.org/officeDocument/2006/relationships/image" Target="../media/image470.jpeg"/><Relationship Id="rId160" Type="http://schemas.openxmlformats.org/officeDocument/2006/relationships/image" Target="../media/image471.jpg"/><Relationship Id="rId161" Type="http://schemas.openxmlformats.org/officeDocument/2006/relationships/image" Target="../media/image472.jpg"/><Relationship Id="rId162" Type="http://schemas.openxmlformats.org/officeDocument/2006/relationships/image" Target="../media/image473.jpg"/><Relationship Id="rId163" Type="http://schemas.openxmlformats.org/officeDocument/2006/relationships/image" Target="../media/image474.jpeg"/><Relationship Id="rId164" Type="http://schemas.openxmlformats.org/officeDocument/2006/relationships/image" Target="../media/image475.jpeg"/><Relationship Id="rId165" Type="http://schemas.openxmlformats.org/officeDocument/2006/relationships/image" Target="../media/image476.png"/><Relationship Id="rId166" Type="http://schemas.openxmlformats.org/officeDocument/2006/relationships/image" Target="../media/image477.jpeg"/><Relationship Id="rId167" Type="http://schemas.openxmlformats.org/officeDocument/2006/relationships/image" Target="../media/image478.jpg"/><Relationship Id="rId168" Type="http://schemas.openxmlformats.org/officeDocument/2006/relationships/image" Target="../media/image479.jpg"/><Relationship Id="rId169" Type="http://schemas.openxmlformats.org/officeDocument/2006/relationships/image" Target="../media/image480.jpg"/><Relationship Id="rId170" Type="http://schemas.openxmlformats.org/officeDocument/2006/relationships/image" Target="../media/image481.jpeg"/><Relationship Id="rId171" Type="http://schemas.openxmlformats.org/officeDocument/2006/relationships/image" Target="../media/image482.jpg"/><Relationship Id="rId172" Type="http://schemas.openxmlformats.org/officeDocument/2006/relationships/image" Target="../media/image483.jpg"/><Relationship Id="rId173" Type="http://schemas.openxmlformats.org/officeDocument/2006/relationships/image" Target="../media/image484.jpeg"/><Relationship Id="rId174" Type="http://schemas.openxmlformats.org/officeDocument/2006/relationships/image" Target="../media/image485.jpg"/><Relationship Id="rId175" Type="http://schemas.openxmlformats.org/officeDocument/2006/relationships/image" Target="../media/image486.jpeg"/><Relationship Id="rId176" Type="http://schemas.openxmlformats.org/officeDocument/2006/relationships/image" Target="../media/image487.jpeg"/><Relationship Id="rId177" Type="http://schemas.openxmlformats.org/officeDocument/2006/relationships/image" Target="../media/image488.jpeg"/><Relationship Id="rId178" Type="http://schemas.openxmlformats.org/officeDocument/2006/relationships/image" Target="../media/image489.jpg"/><Relationship Id="rId179" Type="http://schemas.openxmlformats.org/officeDocument/2006/relationships/image" Target="../media/image490.jpg"/><Relationship Id="rId180" Type="http://schemas.openxmlformats.org/officeDocument/2006/relationships/image" Target="../media/image491.png"/><Relationship Id="rId181" Type="http://schemas.openxmlformats.org/officeDocument/2006/relationships/image" Target="../media/image492.jpg"/><Relationship Id="rId182" Type="http://schemas.openxmlformats.org/officeDocument/2006/relationships/image" Target="../media/image493.jpg"/><Relationship Id="rId183" Type="http://schemas.openxmlformats.org/officeDocument/2006/relationships/image" Target="../media/image494.jpg"/><Relationship Id="rId184" Type="http://schemas.openxmlformats.org/officeDocument/2006/relationships/image" Target="../media/image495.jpeg"/><Relationship Id="rId185" Type="http://schemas.openxmlformats.org/officeDocument/2006/relationships/image" Target="../media/image496.jpg"/><Relationship Id="rId186" Type="http://schemas.openxmlformats.org/officeDocument/2006/relationships/image" Target="../media/image497.jpg"/><Relationship Id="rId187" Type="http://schemas.openxmlformats.org/officeDocument/2006/relationships/image" Target="../media/image498.jpg"/><Relationship Id="rId188" Type="http://schemas.openxmlformats.org/officeDocument/2006/relationships/image" Target="../media/image499.jpeg"/><Relationship Id="rId189" Type="http://schemas.openxmlformats.org/officeDocument/2006/relationships/image" Target="../media/image500.jpg"/><Relationship Id="rId190" Type="http://schemas.openxmlformats.org/officeDocument/2006/relationships/image" Target="../media/image501.jpg"/><Relationship Id="rId191" Type="http://schemas.openxmlformats.org/officeDocument/2006/relationships/image" Target="../media/image502.jpeg"/><Relationship Id="rId192" Type="http://schemas.openxmlformats.org/officeDocument/2006/relationships/image" Target="../media/image503.jpg"/><Relationship Id="rId193" Type="http://schemas.openxmlformats.org/officeDocument/2006/relationships/image" Target="../media/image504.jpeg"/><Relationship Id="rId194" Type="http://schemas.openxmlformats.org/officeDocument/2006/relationships/image" Target="../media/image505.jpg"/><Relationship Id="rId195" Type="http://schemas.openxmlformats.org/officeDocument/2006/relationships/image" Target="../media/image506.jpeg"/><Relationship Id="rId196" Type="http://schemas.openxmlformats.org/officeDocument/2006/relationships/image" Target="../media/image507.jpeg"/><Relationship Id="rId197" Type="http://schemas.openxmlformats.org/officeDocument/2006/relationships/image" Target="../media/image508.jpeg"/><Relationship Id="rId198" Type="http://schemas.openxmlformats.org/officeDocument/2006/relationships/image" Target="../media/image509.jpeg"/><Relationship Id="rId199" Type="http://schemas.openxmlformats.org/officeDocument/2006/relationships/image" Target="../media/image510.jpeg"/><Relationship Id="rId200" Type="http://schemas.openxmlformats.org/officeDocument/2006/relationships/image" Target="../media/image511.jpeg"/><Relationship Id="rId201" Type="http://schemas.openxmlformats.org/officeDocument/2006/relationships/image" Target="../media/image51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513.jpg"/><Relationship Id="rId2" Type="http://schemas.openxmlformats.org/officeDocument/2006/relationships/image" Target="../media/image514.jpg"/><Relationship Id="rId3" Type="http://schemas.openxmlformats.org/officeDocument/2006/relationships/image" Target="../media/image515.jpeg"/><Relationship Id="rId4" Type="http://schemas.openxmlformats.org/officeDocument/2006/relationships/image" Target="../media/image516.png"/><Relationship Id="rId5" Type="http://schemas.openxmlformats.org/officeDocument/2006/relationships/image" Target="../media/image517.png"/><Relationship Id="rId6" Type="http://schemas.openxmlformats.org/officeDocument/2006/relationships/image" Target="../media/image518.png"/><Relationship Id="rId7" Type="http://schemas.openxmlformats.org/officeDocument/2006/relationships/image" Target="../media/image519.png"/><Relationship Id="rId8" Type="http://schemas.openxmlformats.org/officeDocument/2006/relationships/image" Target="../media/image520.png"/><Relationship Id="rId9" Type="http://schemas.openxmlformats.org/officeDocument/2006/relationships/image" Target="../media/image521.png"/><Relationship Id="rId10" Type="http://schemas.openxmlformats.org/officeDocument/2006/relationships/image" Target="../media/image522.png"/><Relationship Id="rId11" Type="http://schemas.openxmlformats.org/officeDocument/2006/relationships/image" Target="../media/image5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3</xdr:row>
      <xdr:rowOff>7600</xdr:rowOff>
    </xdr:from>
    <xdr:to>
      <xdr:col>2</xdr:col>
      <xdr:colOff>1147600</xdr:colOff>
      <xdr:row>6</xdr:row>
      <xdr:rowOff>273599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1147600</xdr:colOff>
      <xdr:row>10</xdr:row>
      <xdr:rowOff>273599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1147600</xdr:colOff>
      <xdr:row>13</xdr:row>
      <xdr:rowOff>571266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1147600</xdr:colOff>
      <xdr:row>15</xdr:row>
      <xdr:rowOff>456000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4</xdr:row>
      <xdr:rowOff>7600</xdr:rowOff>
    </xdr:from>
    <xdr:to>
      <xdr:col>2</xdr:col>
      <xdr:colOff>1147600</xdr:colOff>
      <xdr:row>9</xdr:row>
      <xdr:rowOff>197600</xdr:rowOff>
    </xdr:to>
    <xdr:pic>
      <xdr:nvPicPr>
        <xdr:cNvPr id="1" name="image5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1147600</xdr:colOff>
      <xdr:row>14</xdr:row>
      <xdr:rowOff>83600</xdr:rowOff>
    </xdr:to>
    <xdr:pic>
      <xdr:nvPicPr>
        <xdr:cNvPr id="2" name="image6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1147600</xdr:colOff>
      <xdr:row>21</xdr:row>
      <xdr:rowOff>1147600</xdr:rowOff>
    </xdr:to>
    <xdr:pic>
      <xdr:nvPicPr>
        <xdr:cNvPr id="3" name="image7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1147600</xdr:colOff>
      <xdr:row>22</xdr:row>
      <xdr:rowOff>760000</xdr:rowOff>
    </xdr:to>
    <xdr:pic>
      <xdr:nvPicPr>
        <xdr:cNvPr id="4" name="image8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23</xdr:row>
      <xdr:rowOff>866400</xdr:rowOff>
    </xdr:to>
    <xdr:pic>
      <xdr:nvPicPr>
        <xdr:cNvPr id="5" name="image9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1147600</xdr:colOff>
      <xdr:row>24</xdr:row>
      <xdr:rowOff>866400</xdr:rowOff>
    </xdr:to>
    <xdr:pic>
      <xdr:nvPicPr>
        <xdr:cNvPr id="6" name="image10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1147600</xdr:colOff>
      <xdr:row>25</xdr:row>
      <xdr:rowOff>1147600</xdr:rowOff>
    </xdr:to>
    <xdr:pic>
      <xdr:nvPicPr>
        <xdr:cNvPr id="7" name="image11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1147600</xdr:colOff>
      <xdr:row>29</xdr:row>
      <xdr:rowOff>273599</xdr:rowOff>
    </xdr:to>
    <xdr:pic>
      <xdr:nvPicPr>
        <xdr:cNvPr id="8" name="image12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1147600</xdr:colOff>
      <xdr:row>33</xdr:row>
      <xdr:rowOff>220399</xdr:rowOff>
    </xdr:to>
    <xdr:pic>
      <xdr:nvPicPr>
        <xdr:cNvPr id="9" name="image13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1147600</xdr:colOff>
      <xdr:row>37</xdr:row>
      <xdr:rowOff>189999</xdr:rowOff>
    </xdr:to>
    <xdr:pic>
      <xdr:nvPicPr>
        <xdr:cNvPr id="10" name="image14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1147600</xdr:colOff>
      <xdr:row>42</xdr:row>
      <xdr:rowOff>273599</xdr:rowOff>
    </xdr:to>
    <xdr:pic>
      <xdr:nvPicPr>
        <xdr:cNvPr id="11" name="image15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1147600</xdr:colOff>
      <xdr:row>47</xdr:row>
      <xdr:rowOff>151999</xdr:rowOff>
    </xdr:to>
    <xdr:pic>
      <xdr:nvPicPr>
        <xdr:cNvPr id="12" name="image16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1147600</xdr:colOff>
      <xdr:row>52</xdr:row>
      <xdr:rowOff>239399</xdr:rowOff>
    </xdr:to>
    <xdr:pic>
      <xdr:nvPicPr>
        <xdr:cNvPr id="13" name="image17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1147600</xdr:colOff>
      <xdr:row>56</xdr:row>
      <xdr:rowOff>178599</xdr:rowOff>
    </xdr:to>
    <xdr:pic>
      <xdr:nvPicPr>
        <xdr:cNvPr id="14" name="image18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1147600</xdr:colOff>
      <xdr:row>62</xdr:row>
      <xdr:rowOff>273599</xdr:rowOff>
    </xdr:to>
    <xdr:pic>
      <xdr:nvPicPr>
        <xdr:cNvPr id="15" name="image19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1147600</xdr:colOff>
      <xdr:row>66</xdr:row>
      <xdr:rowOff>273599</xdr:rowOff>
    </xdr:to>
    <xdr:pic>
      <xdr:nvPicPr>
        <xdr:cNvPr id="16" name="image20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1147600</xdr:colOff>
      <xdr:row>70</xdr:row>
      <xdr:rowOff>178599</xdr:rowOff>
    </xdr:to>
    <xdr:pic>
      <xdr:nvPicPr>
        <xdr:cNvPr id="17" name="image21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1147600</xdr:colOff>
      <xdr:row>76</xdr:row>
      <xdr:rowOff>121600</xdr:rowOff>
    </xdr:to>
    <xdr:pic>
      <xdr:nvPicPr>
        <xdr:cNvPr id="18" name="image22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1147600</xdr:colOff>
      <xdr:row>81</xdr:row>
      <xdr:rowOff>273599</xdr:rowOff>
    </xdr:to>
    <xdr:pic>
      <xdr:nvPicPr>
        <xdr:cNvPr id="19" name="image23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82</xdr:row>
      <xdr:rowOff>7600</xdr:rowOff>
    </xdr:from>
    <xdr:to>
      <xdr:col>2</xdr:col>
      <xdr:colOff>999400</xdr:colOff>
      <xdr:row>85</xdr:row>
      <xdr:rowOff>273599</xdr:rowOff>
    </xdr:to>
    <xdr:pic>
      <xdr:nvPicPr>
        <xdr:cNvPr id="20" name="image24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1147600</xdr:colOff>
      <xdr:row>89</xdr:row>
      <xdr:rowOff>281200</xdr:rowOff>
    </xdr:to>
    <xdr:pic>
      <xdr:nvPicPr>
        <xdr:cNvPr id="21" name="image25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1147600</xdr:colOff>
      <xdr:row>92</xdr:row>
      <xdr:rowOff>381266</xdr:rowOff>
    </xdr:to>
    <xdr:pic>
      <xdr:nvPicPr>
        <xdr:cNvPr id="22" name="image26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1147600</xdr:colOff>
      <xdr:row>97</xdr:row>
      <xdr:rowOff>258399</xdr:rowOff>
    </xdr:to>
    <xdr:pic>
      <xdr:nvPicPr>
        <xdr:cNvPr id="23" name="image27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4</xdr:row>
      <xdr:rowOff>7600</xdr:rowOff>
    </xdr:from>
    <xdr:to>
      <xdr:col>2</xdr:col>
      <xdr:colOff>1147600</xdr:colOff>
      <xdr:row>8</xdr:row>
      <xdr:rowOff>235600</xdr:rowOff>
    </xdr:to>
    <xdr:pic>
      <xdr:nvPicPr>
        <xdr:cNvPr id="1" name="image28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1147600</xdr:colOff>
      <xdr:row>14</xdr:row>
      <xdr:rowOff>197600</xdr:rowOff>
    </xdr:to>
    <xdr:pic>
      <xdr:nvPicPr>
        <xdr:cNvPr id="2" name="image29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1147600</xdr:colOff>
      <xdr:row>20</xdr:row>
      <xdr:rowOff>235600</xdr:rowOff>
    </xdr:to>
    <xdr:pic>
      <xdr:nvPicPr>
        <xdr:cNvPr id="3" name="image30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1147600</xdr:colOff>
      <xdr:row>25</xdr:row>
      <xdr:rowOff>235600</xdr:rowOff>
    </xdr:to>
    <xdr:pic>
      <xdr:nvPicPr>
        <xdr:cNvPr id="4" name="image31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1147600</xdr:colOff>
      <xdr:row>30</xdr:row>
      <xdr:rowOff>235600</xdr:rowOff>
    </xdr:to>
    <xdr:pic>
      <xdr:nvPicPr>
        <xdr:cNvPr id="5" name="image32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1147600</xdr:colOff>
      <xdr:row>35</xdr:row>
      <xdr:rowOff>235600</xdr:rowOff>
    </xdr:to>
    <xdr:pic>
      <xdr:nvPicPr>
        <xdr:cNvPr id="6" name="image33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1147600</xdr:colOff>
      <xdr:row>41</xdr:row>
      <xdr:rowOff>235600</xdr:rowOff>
    </xdr:to>
    <xdr:pic>
      <xdr:nvPicPr>
        <xdr:cNvPr id="7" name="image34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1147600</xdr:colOff>
      <xdr:row>46</xdr:row>
      <xdr:rowOff>235600</xdr:rowOff>
    </xdr:to>
    <xdr:pic>
      <xdr:nvPicPr>
        <xdr:cNvPr id="8" name="image35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1147600</xdr:colOff>
      <xdr:row>51</xdr:row>
      <xdr:rowOff>235600</xdr:rowOff>
    </xdr:to>
    <xdr:pic>
      <xdr:nvPicPr>
        <xdr:cNvPr id="9" name="image36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1147600</xdr:colOff>
      <xdr:row>58</xdr:row>
      <xdr:rowOff>197600</xdr:rowOff>
    </xdr:to>
    <xdr:pic>
      <xdr:nvPicPr>
        <xdr:cNvPr id="10" name="image37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1147600</xdr:colOff>
      <xdr:row>63</xdr:row>
      <xdr:rowOff>235600</xdr:rowOff>
    </xdr:to>
    <xdr:pic>
      <xdr:nvPicPr>
        <xdr:cNvPr id="11" name="image38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140600</xdr:colOff>
      <xdr:row>4</xdr:row>
      <xdr:rowOff>7600</xdr:rowOff>
    </xdr:from>
    <xdr:to>
      <xdr:col>2</xdr:col>
      <xdr:colOff>999400</xdr:colOff>
      <xdr:row>4</xdr:row>
      <xdr:rowOff>1147600</xdr:rowOff>
    </xdr:to>
    <xdr:pic>
      <xdr:nvPicPr>
        <xdr:cNvPr id="1" name="image39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</xdr:row>
      <xdr:rowOff>7600</xdr:rowOff>
    </xdr:from>
    <xdr:to>
      <xdr:col>2</xdr:col>
      <xdr:colOff>1147600</xdr:colOff>
      <xdr:row>5</xdr:row>
      <xdr:rowOff>980400</xdr:rowOff>
    </xdr:to>
    <xdr:pic>
      <xdr:nvPicPr>
        <xdr:cNvPr id="2" name="image40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6</xdr:row>
      <xdr:rowOff>7600</xdr:rowOff>
    </xdr:from>
    <xdr:to>
      <xdr:col>2</xdr:col>
      <xdr:colOff>999400</xdr:colOff>
      <xdr:row>6</xdr:row>
      <xdr:rowOff>1147600</xdr:rowOff>
    </xdr:to>
    <xdr:pic>
      <xdr:nvPicPr>
        <xdr:cNvPr id="3" name="image41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1147600</xdr:colOff>
      <xdr:row>9</xdr:row>
      <xdr:rowOff>646000</xdr:rowOff>
    </xdr:to>
    <xdr:pic>
      <xdr:nvPicPr>
        <xdr:cNvPr id="4" name="image4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1147600</xdr:colOff>
      <xdr:row>11</xdr:row>
      <xdr:rowOff>646000</xdr:rowOff>
    </xdr:to>
    <xdr:pic>
      <xdr:nvPicPr>
        <xdr:cNvPr id="5" name="image43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1147600</xdr:colOff>
      <xdr:row>14</xdr:row>
      <xdr:rowOff>571266</xdr:rowOff>
    </xdr:to>
    <xdr:pic>
      <xdr:nvPicPr>
        <xdr:cNvPr id="6" name="image44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1147600</xdr:colOff>
      <xdr:row>17</xdr:row>
      <xdr:rowOff>323000</xdr:rowOff>
    </xdr:to>
    <xdr:pic>
      <xdr:nvPicPr>
        <xdr:cNvPr id="7" name="image4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19</xdr:row>
      <xdr:rowOff>7600</xdr:rowOff>
    </xdr:from>
    <xdr:to>
      <xdr:col>2</xdr:col>
      <xdr:colOff>999400</xdr:colOff>
      <xdr:row>20</xdr:row>
      <xdr:rowOff>571266</xdr:rowOff>
    </xdr:to>
    <xdr:pic>
      <xdr:nvPicPr>
        <xdr:cNvPr id="8" name="image46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23</xdr:row>
      <xdr:rowOff>646000</xdr:rowOff>
    </xdr:to>
    <xdr:pic>
      <xdr:nvPicPr>
        <xdr:cNvPr id="9" name="image47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1147600</xdr:colOff>
      <xdr:row>24</xdr:row>
      <xdr:rowOff>646000</xdr:rowOff>
    </xdr:to>
    <xdr:pic>
      <xdr:nvPicPr>
        <xdr:cNvPr id="10" name="image4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1147600</xdr:colOff>
      <xdr:row>26</xdr:row>
      <xdr:rowOff>323000</xdr:rowOff>
    </xdr:to>
    <xdr:pic>
      <xdr:nvPicPr>
        <xdr:cNvPr id="11" name="image49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1147600</xdr:colOff>
      <xdr:row>28</xdr:row>
      <xdr:rowOff>646000</xdr:rowOff>
    </xdr:to>
    <xdr:pic>
      <xdr:nvPicPr>
        <xdr:cNvPr id="12" name="image5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1147600</xdr:colOff>
      <xdr:row>29</xdr:row>
      <xdr:rowOff>646000</xdr:rowOff>
    </xdr:to>
    <xdr:pic>
      <xdr:nvPicPr>
        <xdr:cNvPr id="13" name="image51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1147600</xdr:colOff>
      <xdr:row>30</xdr:row>
      <xdr:rowOff>646000</xdr:rowOff>
    </xdr:to>
    <xdr:pic>
      <xdr:nvPicPr>
        <xdr:cNvPr id="14" name="image52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1147600</xdr:colOff>
      <xdr:row>31</xdr:row>
      <xdr:rowOff>646000</xdr:rowOff>
    </xdr:to>
    <xdr:pic>
      <xdr:nvPicPr>
        <xdr:cNvPr id="15" name="image53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1147600</xdr:colOff>
      <xdr:row>33</xdr:row>
      <xdr:rowOff>323000</xdr:rowOff>
    </xdr:to>
    <xdr:pic>
      <xdr:nvPicPr>
        <xdr:cNvPr id="16" name="image5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1147600</xdr:colOff>
      <xdr:row>35</xdr:row>
      <xdr:rowOff>323000</xdr:rowOff>
    </xdr:to>
    <xdr:pic>
      <xdr:nvPicPr>
        <xdr:cNvPr id="17" name="image55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1147600</xdr:colOff>
      <xdr:row>37</xdr:row>
      <xdr:rowOff>429400</xdr:rowOff>
    </xdr:to>
    <xdr:pic>
      <xdr:nvPicPr>
        <xdr:cNvPr id="18" name="image5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1147600</xdr:colOff>
      <xdr:row>41</xdr:row>
      <xdr:rowOff>919600</xdr:rowOff>
    </xdr:to>
    <xdr:pic>
      <xdr:nvPicPr>
        <xdr:cNvPr id="19" name="image57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42</xdr:row>
      <xdr:rowOff>7600</xdr:rowOff>
    </xdr:from>
    <xdr:to>
      <xdr:col>2</xdr:col>
      <xdr:colOff>999400</xdr:colOff>
      <xdr:row>42</xdr:row>
      <xdr:rowOff>1147600</xdr:rowOff>
    </xdr:to>
    <xdr:pic>
      <xdr:nvPicPr>
        <xdr:cNvPr id="20" name="image58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1147600</xdr:colOff>
      <xdr:row>43</xdr:row>
      <xdr:rowOff>1147600</xdr:rowOff>
    </xdr:to>
    <xdr:pic>
      <xdr:nvPicPr>
        <xdr:cNvPr id="21" name="image5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1147600</xdr:colOff>
      <xdr:row>46</xdr:row>
      <xdr:rowOff>283733</xdr:rowOff>
    </xdr:to>
    <xdr:pic>
      <xdr:nvPicPr>
        <xdr:cNvPr id="22" name="image60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47</xdr:row>
      <xdr:rowOff>7600</xdr:rowOff>
    </xdr:from>
    <xdr:to>
      <xdr:col>2</xdr:col>
      <xdr:colOff>999400</xdr:colOff>
      <xdr:row>48</xdr:row>
      <xdr:rowOff>571266</xdr:rowOff>
    </xdr:to>
    <xdr:pic>
      <xdr:nvPicPr>
        <xdr:cNvPr id="23" name="image61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4</xdr:row>
      <xdr:rowOff>7600</xdr:rowOff>
    </xdr:from>
    <xdr:to>
      <xdr:col>2</xdr:col>
      <xdr:colOff>1147600</xdr:colOff>
      <xdr:row>4</xdr:row>
      <xdr:rowOff>1132400</xdr:rowOff>
    </xdr:to>
    <xdr:pic>
      <xdr:nvPicPr>
        <xdr:cNvPr id="1" name="image6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1147600</xdr:colOff>
      <xdr:row>11</xdr:row>
      <xdr:rowOff>134266</xdr:rowOff>
    </xdr:to>
    <xdr:pic>
      <xdr:nvPicPr>
        <xdr:cNvPr id="2" name="image6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1147600</xdr:colOff>
      <xdr:row>16</xdr:row>
      <xdr:rowOff>273599</xdr:rowOff>
    </xdr:to>
    <xdr:pic>
      <xdr:nvPicPr>
        <xdr:cNvPr id="3" name="image64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1147600</xdr:colOff>
      <xdr:row>20</xdr:row>
      <xdr:rowOff>273599</xdr:rowOff>
    </xdr:to>
    <xdr:pic>
      <xdr:nvPicPr>
        <xdr:cNvPr id="4" name="image65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1147600</xdr:colOff>
      <xdr:row>24</xdr:row>
      <xdr:rowOff>178599</xdr:rowOff>
    </xdr:to>
    <xdr:pic>
      <xdr:nvPicPr>
        <xdr:cNvPr id="5" name="image66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1147600</xdr:colOff>
      <xdr:row>25</xdr:row>
      <xdr:rowOff>767600</xdr:rowOff>
    </xdr:to>
    <xdr:pic>
      <xdr:nvPicPr>
        <xdr:cNvPr id="6" name="image67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1147600</xdr:colOff>
      <xdr:row>28</xdr:row>
      <xdr:rowOff>1147600</xdr:rowOff>
    </xdr:to>
    <xdr:pic>
      <xdr:nvPicPr>
        <xdr:cNvPr id="7" name="image68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1147600</xdr:colOff>
      <xdr:row>29</xdr:row>
      <xdr:rowOff>1147600</xdr:rowOff>
    </xdr:to>
    <xdr:pic>
      <xdr:nvPicPr>
        <xdr:cNvPr id="8" name="image69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1147600</xdr:colOff>
      <xdr:row>30</xdr:row>
      <xdr:rowOff>1147600</xdr:rowOff>
    </xdr:to>
    <xdr:pic>
      <xdr:nvPicPr>
        <xdr:cNvPr id="9" name="image70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1147600</xdr:colOff>
      <xdr:row>31</xdr:row>
      <xdr:rowOff>1147600</xdr:rowOff>
    </xdr:to>
    <xdr:pic>
      <xdr:nvPicPr>
        <xdr:cNvPr id="10" name="image71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1147600</xdr:colOff>
      <xdr:row>32</xdr:row>
      <xdr:rowOff>1147600</xdr:rowOff>
    </xdr:to>
    <xdr:pic>
      <xdr:nvPicPr>
        <xdr:cNvPr id="11" name="image72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1147600</xdr:colOff>
      <xdr:row>33</xdr:row>
      <xdr:rowOff>1147600</xdr:rowOff>
    </xdr:to>
    <xdr:pic>
      <xdr:nvPicPr>
        <xdr:cNvPr id="12" name="image73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1147600</xdr:colOff>
      <xdr:row>34</xdr:row>
      <xdr:rowOff>1147600</xdr:rowOff>
    </xdr:to>
    <xdr:pic>
      <xdr:nvPicPr>
        <xdr:cNvPr id="13" name="image74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1147600</xdr:colOff>
      <xdr:row>35</xdr:row>
      <xdr:rowOff>1147600</xdr:rowOff>
    </xdr:to>
    <xdr:pic>
      <xdr:nvPicPr>
        <xdr:cNvPr id="14" name="image75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1147600</xdr:colOff>
      <xdr:row>36</xdr:row>
      <xdr:rowOff>1147600</xdr:rowOff>
    </xdr:to>
    <xdr:pic>
      <xdr:nvPicPr>
        <xdr:cNvPr id="15" name="image76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1147600</xdr:colOff>
      <xdr:row>37</xdr:row>
      <xdr:rowOff>1147600</xdr:rowOff>
    </xdr:to>
    <xdr:pic>
      <xdr:nvPicPr>
        <xdr:cNvPr id="16" name="image77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1147600</xdr:colOff>
      <xdr:row>38</xdr:row>
      <xdr:rowOff>1147600</xdr:rowOff>
    </xdr:to>
    <xdr:pic>
      <xdr:nvPicPr>
        <xdr:cNvPr id="17" name="image78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1147600</xdr:colOff>
      <xdr:row>42</xdr:row>
      <xdr:rowOff>374933</xdr:rowOff>
    </xdr:to>
    <xdr:pic>
      <xdr:nvPicPr>
        <xdr:cNvPr id="18" name="image7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1147600</xdr:colOff>
      <xdr:row>46</xdr:row>
      <xdr:rowOff>374933</xdr:rowOff>
    </xdr:to>
    <xdr:pic>
      <xdr:nvPicPr>
        <xdr:cNvPr id="19" name="image80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1147600</xdr:colOff>
      <xdr:row>49</xdr:row>
      <xdr:rowOff>374933</xdr:rowOff>
    </xdr:to>
    <xdr:pic>
      <xdr:nvPicPr>
        <xdr:cNvPr id="20" name="image8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1147600</xdr:colOff>
      <xdr:row>52</xdr:row>
      <xdr:rowOff>381266</xdr:rowOff>
    </xdr:to>
    <xdr:pic>
      <xdr:nvPicPr>
        <xdr:cNvPr id="21" name="image82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54</xdr:row>
      <xdr:rowOff>7600</xdr:rowOff>
    </xdr:from>
    <xdr:to>
      <xdr:col>2</xdr:col>
      <xdr:colOff>1026000</xdr:colOff>
      <xdr:row>59</xdr:row>
      <xdr:rowOff>197600</xdr:rowOff>
    </xdr:to>
    <xdr:pic>
      <xdr:nvPicPr>
        <xdr:cNvPr id="22" name="image83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1147600</xdr:colOff>
      <xdr:row>66</xdr:row>
      <xdr:rowOff>134266</xdr:rowOff>
    </xdr:to>
    <xdr:pic>
      <xdr:nvPicPr>
        <xdr:cNvPr id="23" name="image84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68</xdr:row>
      <xdr:rowOff>7600</xdr:rowOff>
    </xdr:from>
    <xdr:to>
      <xdr:col>2</xdr:col>
      <xdr:colOff>1010800</xdr:colOff>
      <xdr:row>71</xdr:row>
      <xdr:rowOff>273599</xdr:rowOff>
    </xdr:to>
    <xdr:pic>
      <xdr:nvPicPr>
        <xdr:cNvPr id="24" name="image85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1147600</xdr:colOff>
      <xdr:row>75</xdr:row>
      <xdr:rowOff>167200</xdr:rowOff>
    </xdr:to>
    <xdr:pic>
      <xdr:nvPicPr>
        <xdr:cNvPr id="25" name="image86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1147600</xdr:colOff>
      <xdr:row>86</xdr:row>
      <xdr:rowOff>159599</xdr:rowOff>
    </xdr:to>
    <xdr:pic>
      <xdr:nvPicPr>
        <xdr:cNvPr id="26" name="image87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1147600</xdr:colOff>
      <xdr:row>91</xdr:row>
      <xdr:rowOff>374933</xdr:rowOff>
    </xdr:to>
    <xdr:pic>
      <xdr:nvPicPr>
        <xdr:cNvPr id="27" name="image88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1147600</xdr:colOff>
      <xdr:row>94</xdr:row>
      <xdr:rowOff>374933</xdr:rowOff>
    </xdr:to>
    <xdr:pic>
      <xdr:nvPicPr>
        <xdr:cNvPr id="28" name="image89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1147600</xdr:colOff>
      <xdr:row>97</xdr:row>
      <xdr:rowOff>374933</xdr:rowOff>
    </xdr:to>
    <xdr:pic>
      <xdr:nvPicPr>
        <xdr:cNvPr id="29" name="image90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1147600</xdr:colOff>
      <xdr:row>99</xdr:row>
      <xdr:rowOff>1132400</xdr:rowOff>
    </xdr:to>
    <xdr:pic>
      <xdr:nvPicPr>
        <xdr:cNvPr id="30" name="image91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1147600</xdr:colOff>
      <xdr:row>103</xdr:row>
      <xdr:rowOff>374933</xdr:rowOff>
    </xdr:to>
    <xdr:pic>
      <xdr:nvPicPr>
        <xdr:cNvPr id="31" name="image92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1147600</xdr:colOff>
      <xdr:row>106</xdr:row>
      <xdr:rowOff>374933</xdr:rowOff>
    </xdr:to>
    <xdr:pic>
      <xdr:nvPicPr>
        <xdr:cNvPr id="32" name="image93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107</xdr:row>
      <xdr:rowOff>7600</xdr:rowOff>
    </xdr:from>
    <xdr:to>
      <xdr:col>2</xdr:col>
      <xdr:colOff>950000</xdr:colOff>
      <xdr:row>109</xdr:row>
      <xdr:rowOff>374933</xdr:rowOff>
    </xdr:to>
    <xdr:pic>
      <xdr:nvPicPr>
        <xdr:cNvPr id="33" name="image94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1147600</xdr:colOff>
      <xdr:row>112</xdr:row>
      <xdr:rowOff>429400</xdr:rowOff>
    </xdr:to>
    <xdr:pic>
      <xdr:nvPicPr>
        <xdr:cNvPr id="34" name="image95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1147600</xdr:colOff>
      <xdr:row>114</xdr:row>
      <xdr:rowOff>419266</xdr:rowOff>
    </xdr:to>
    <xdr:pic>
      <xdr:nvPicPr>
        <xdr:cNvPr id="35" name="image96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1147600</xdr:colOff>
      <xdr:row>119</xdr:row>
      <xdr:rowOff>190000</xdr:rowOff>
    </xdr:to>
    <xdr:pic>
      <xdr:nvPicPr>
        <xdr:cNvPr id="36" name="image97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1147600</xdr:colOff>
      <xdr:row>123</xdr:row>
      <xdr:rowOff>571266</xdr:rowOff>
    </xdr:to>
    <xdr:pic>
      <xdr:nvPicPr>
        <xdr:cNvPr id="37" name="image98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125</xdr:row>
      <xdr:rowOff>7600</xdr:rowOff>
    </xdr:from>
    <xdr:to>
      <xdr:col>2</xdr:col>
      <xdr:colOff>1010800</xdr:colOff>
      <xdr:row>127</xdr:row>
      <xdr:rowOff>374933</xdr:rowOff>
    </xdr:to>
    <xdr:pic>
      <xdr:nvPicPr>
        <xdr:cNvPr id="38" name="image99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1147600</xdr:colOff>
      <xdr:row>129</xdr:row>
      <xdr:rowOff>1147600</xdr:rowOff>
    </xdr:to>
    <xdr:pic>
      <xdr:nvPicPr>
        <xdr:cNvPr id="39" name="image100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1147600</xdr:colOff>
      <xdr:row>134</xdr:row>
      <xdr:rowOff>866400</xdr:rowOff>
    </xdr:to>
    <xdr:pic>
      <xdr:nvPicPr>
        <xdr:cNvPr id="40" name="image101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1147600</xdr:colOff>
      <xdr:row>135</xdr:row>
      <xdr:rowOff>775200</xdr:rowOff>
    </xdr:to>
    <xdr:pic>
      <xdr:nvPicPr>
        <xdr:cNvPr id="41" name="image102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136</xdr:row>
      <xdr:rowOff>7600</xdr:rowOff>
    </xdr:from>
    <xdr:to>
      <xdr:col>2</xdr:col>
      <xdr:colOff>950000</xdr:colOff>
      <xdr:row>136</xdr:row>
      <xdr:rowOff>1147600</xdr:rowOff>
    </xdr:to>
    <xdr:pic>
      <xdr:nvPicPr>
        <xdr:cNvPr id="42" name="image103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137</xdr:row>
      <xdr:rowOff>7600</xdr:rowOff>
    </xdr:from>
    <xdr:to>
      <xdr:col>2</xdr:col>
      <xdr:colOff>995600</xdr:colOff>
      <xdr:row>139</xdr:row>
      <xdr:rowOff>374933</xdr:rowOff>
    </xdr:to>
    <xdr:pic>
      <xdr:nvPicPr>
        <xdr:cNvPr id="43" name="image104.pn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141</xdr:row>
      <xdr:rowOff>7600</xdr:rowOff>
    </xdr:from>
    <xdr:to>
      <xdr:col>2</xdr:col>
      <xdr:colOff>950000</xdr:colOff>
      <xdr:row>141</xdr:row>
      <xdr:rowOff>1147600</xdr:rowOff>
    </xdr:to>
    <xdr:pic>
      <xdr:nvPicPr>
        <xdr:cNvPr id="44" name="image105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1147600</xdr:colOff>
      <xdr:row>143</xdr:row>
      <xdr:rowOff>729600</xdr:rowOff>
    </xdr:to>
    <xdr:pic>
      <xdr:nvPicPr>
        <xdr:cNvPr id="45" name="image106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1147600</xdr:colOff>
      <xdr:row>144</xdr:row>
      <xdr:rowOff>805600</xdr:rowOff>
    </xdr:to>
    <xdr:pic>
      <xdr:nvPicPr>
        <xdr:cNvPr id="46" name="image107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1147600</xdr:colOff>
      <xdr:row>145</xdr:row>
      <xdr:rowOff>729600</xdr:rowOff>
    </xdr:to>
    <xdr:pic>
      <xdr:nvPicPr>
        <xdr:cNvPr id="47" name="image108.pn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1147600</xdr:colOff>
      <xdr:row>146</xdr:row>
      <xdr:rowOff>1056400</xdr:rowOff>
    </xdr:to>
    <xdr:pic>
      <xdr:nvPicPr>
        <xdr:cNvPr id="48" name="image109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1147600</xdr:colOff>
      <xdr:row>147</xdr:row>
      <xdr:rowOff>843600</xdr:rowOff>
    </xdr:to>
    <xdr:pic>
      <xdr:nvPicPr>
        <xdr:cNvPr id="49" name="image110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1147600</xdr:colOff>
      <xdr:row>148</xdr:row>
      <xdr:rowOff>866400</xdr:rowOff>
    </xdr:to>
    <xdr:pic>
      <xdr:nvPicPr>
        <xdr:cNvPr id="50" name="image111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1147600</xdr:colOff>
      <xdr:row>149</xdr:row>
      <xdr:rowOff>562400</xdr:rowOff>
    </xdr:to>
    <xdr:pic>
      <xdr:nvPicPr>
        <xdr:cNvPr id="51" name="image112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1147600</xdr:colOff>
      <xdr:row>150</xdr:row>
      <xdr:rowOff>1056400</xdr:rowOff>
    </xdr:to>
    <xdr:pic>
      <xdr:nvPicPr>
        <xdr:cNvPr id="52" name="image113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1147600</xdr:colOff>
      <xdr:row>151</xdr:row>
      <xdr:rowOff>775200</xdr:rowOff>
    </xdr:to>
    <xdr:pic>
      <xdr:nvPicPr>
        <xdr:cNvPr id="53" name="image114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152</xdr:row>
      <xdr:rowOff>7600</xdr:rowOff>
    </xdr:from>
    <xdr:to>
      <xdr:col>2</xdr:col>
      <xdr:colOff>1010800</xdr:colOff>
      <xdr:row>152</xdr:row>
      <xdr:rowOff>1147600</xdr:rowOff>
    </xdr:to>
    <xdr:pic>
      <xdr:nvPicPr>
        <xdr:cNvPr id="54" name="image115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153</xdr:row>
      <xdr:rowOff>7600</xdr:rowOff>
    </xdr:from>
    <xdr:to>
      <xdr:col>2</xdr:col>
      <xdr:colOff>950000</xdr:colOff>
      <xdr:row>153</xdr:row>
      <xdr:rowOff>1147600</xdr:rowOff>
    </xdr:to>
    <xdr:pic>
      <xdr:nvPicPr>
        <xdr:cNvPr id="55" name="image116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1147600</xdr:colOff>
      <xdr:row>154</xdr:row>
      <xdr:rowOff>760000</xdr:rowOff>
    </xdr:to>
    <xdr:pic>
      <xdr:nvPicPr>
        <xdr:cNvPr id="56" name="image117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1147600</xdr:colOff>
      <xdr:row>155</xdr:row>
      <xdr:rowOff>1147600</xdr:rowOff>
    </xdr:to>
    <xdr:pic>
      <xdr:nvPicPr>
        <xdr:cNvPr id="57" name="image118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156</xdr:row>
      <xdr:rowOff>7600</xdr:rowOff>
    </xdr:from>
    <xdr:to>
      <xdr:col>2</xdr:col>
      <xdr:colOff>950000</xdr:colOff>
      <xdr:row>156</xdr:row>
      <xdr:rowOff>1147600</xdr:rowOff>
    </xdr:to>
    <xdr:pic>
      <xdr:nvPicPr>
        <xdr:cNvPr id="58" name="image119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1147600</xdr:colOff>
      <xdr:row>157</xdr:row>
      <xdr:rowOff>1147600</xdr:rowOff>
    </xdr:to>
    <xdr:pic>
      <xdr:nvPicPr>
        <xdr:cNvPr id="59" name="image120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1147600</xdr:colOff>
      <xdr:row>158</xdr:row>
      <xdr:rowOff>767600</xdr:rowOff>
    </xdr:to>
    <xdr:pic>
      <xdr:nvPicPr>
        <xdr:cNvPr id="60" name="image121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1147600</xdr:colOff>
      <xdr:row>163</xdr:row>
      <xdr:rowOff>374933</xdr:rowOff>
    </xdr:to>
    <xdr:pic>
      <xdr:nvPicPr>
        <xdr:cNvPr id="61" name="image122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1147600</xdr:colOff>
      <xdr:row>165</xdr:row>
      <xdr:rowOff>866400</xdr:rowOff>
    </xdr:to>
    <xdr:pic>
      <xdr:nvPicPr>
        <xdr:cNvPr id="62" name="image123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166</xdr:row>
      <xdr:rowOff>7600</xdr:rowOff>
    </xdr:from>
    <xdr:to>
      <xdr:col>2</xdr:col>
      <xdr:colOff>950000</xdr:colOff>
      <xdr:row>166</xdr:row>
      <xdr:rowOff>1147600</xdr:rowOff>
    </xdr:to>
    <xdr:pic>
      <xdr:nvPicPr>
        <xdr:cNvPr id="63" name="image124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1147600</xdr:colOff>
      <xdr:row>167</xdr:row>
      <xdr:rowOff>866400</xdr:rowOff>
    </xdr:to>
    <xdr:pic>
      <xdr:nvPicPr>
        <xdr:cNvPr id="64" name="image125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1147600</xdr:colOff>
      <xdr:row>168</xdr:row>
      <xdr:rowOff>1071600</xdr:rowOff>
    </xdr:to>
    <xdr:pic>
      <xdr:nvPicPr>
        <xdr:cNvPr id="65" name="image126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1147600</xdr:colOff>
      <xdr:row>171</xdr:row>
      <xdr:rowOff>255866</xdr:rowOff>
    </xdr:to>
    <xdr:pic>
      <xdr:nvPicPr>
        <xdr:cNvPr id="66" name="image127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1147600</xdr:colOff>
      <xdr:row>172</xdr:row>
      <xdr:rowOff>950000</xdr:rowOff>
    </xdr:to>
    <xdr:pic>
      <xdr:nvPicPr>
        <xdr:cNvPr id="67" name="image128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173</xdr:row>
      <xdr:rowOff>7600</xdr:rowOff>
    </xdr:from>
    <xdr:to>
      <xdr:col>2</xdr:col>
      <xdr:colOff>950000</xdr:colOff>
      <xdr:row>176</xdr:row>
      <xdr:rowOff>273599</xdr:rowOff>
    </xdr:to>
    <xdr:pic>
      <xdr:nvPicPr>
        <xdr:cNvPr id="68" name="image129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1147600</xdr:colOff>
      <xdr:row>179</xdr:row>
      <xdr:rowOff>646000</xdr:rowOff>
    </xdr:to>
    <xdr:pic>
      <xdr:nvPicPr>
        <xdr:cNvPr id="69" name="image130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1147600</xdr:colOff>
      <xdr:row>180</xdr:row>
      <xdr:rowOff>722000</xdr:rowOff>
    </xdr:to>
    <xdr:pic>
      <xdr:nvPicPr>
        <xdr:cNvPr id="70" name="image131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181</xdr:row>
      <xdr:rowOff>7600</xdr:rowOff>
    </xdr:from>
    <xdr:to>
      <xdr:col>2</xdr:col>
      <xdr:colOff>999400</xdr:colOff>
      <xdr:row>181</xdr:row>
      <xdr:rowOff>1147600</xdr:rowOff>
    </xdr:to>
    <xdr:pic>
      <xdr:nvPicPr>
        <xdr:cNvPr id="71" name="image132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1147600</xdr:colOff>
      <xdr:row>182</xdr:row>
      <xdr:rowOff>722000</xdr:rowOff>
    </xdr:to>
    <xdr:pic>
      <xdr:nvPicPr>
        <xdr:cNvPr id="72" name="image133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1147600</xdr:colOff>
      <xdr:row>186</xdr:row>
      <xdr:rowOff>866400</xdr:rowOff>
    </xdr:to>
    <xdr:pic>
      <xdr:nvPicPr>
        <xdr:cNvPr id="73" name="image134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187</xdr:row>
      <xdr:rowOff>7600</xdr:rowOff>
    </xdr:from>
    <xdr:to>
      <xdr:col>2</xdr:col>
      <xdr:colOff>1052600</xdr:colOff>
      <xdr:row>187</xdr:row>
      <xdr:rowOff>1147600</xdr:rowOff>
    </xdr:to>
    <xdr:pic>
      <xdr:nvPicPr>
        <xdr:cNvPr id="74" name="image135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1147600</xdr:colOff>
      <xdr:row>188</xdr:row>
      <xdr:rowOff>866400</xdr:rowOff>
    </xdr:to>
    <xdr:pic>
      <xdr:nvPicPr>
        <xdr:cNvPr id="75" name="image136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1147600</xdr:colOff>
      <xdr:row>189</xdr:row>
      <xdr:rowOff>1147600</xdr:rowOff>
    </xdr:to>
    <xdr:pic>
      <xdr:nvPicPr>
        <xdr:cNvPr id="76" name="image137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1147600</xdr:colOff>
      <xdr:row>190</xdr:row>
      <xdr:rowOff>767600</xdr:rowOff>
    </xdr:to>
    <xdr:pic>
      <xdr:nvPicPr>
        <xdr:cNvPr id="77" name="image138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1147600</xdr:colOff>
      <xdr:row>191</xdr:row>
      <xdr:rowOff>828400</xdr:rowOff>
    </xdr:to>
    <xdr:pic>
      <xdr:nvPicPr>
        <xdr:cNvPr id="78" name="image139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192</xdr:row>
      <xdr:rowOff>7600</xdr:rowOff>
    </xdr:from>
    <xdr:to>
      <xdr:col>2</xdr:col>
      <xdr:colOff>995600</xdr:colOff>
      <xdr:row>192</xdr:row>
      <xdr:rowOff>1147600</xdr:rowOff>
    </xdr:to>
    <xdr:pic>
      <xdr:nvPicPr>
        <xdr:cNvPr id="79" name="image140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193</xdr:row>
      <xdr:rowOff>7600</xdr:rowOff>
    </xdr:from>
    <xdr:to>
      <xdr:col>2</xdr:col>
      <xdr:colOff>950000</xdr:colOff>
      <xdr:row>193</xdr:row>
      <xdr:rowOff>1147600</xdr:rowOff>
    </xdr:to>
    <xdr:pic>
      <xdr:nvPicPr>
        <xdr:cNvPr id="80" name="image141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194</xdr:row>
      <xdr:rowOff>7600</xdr:rowOff>
    </xdr:from>
    <xdr:to>
      <xdr:col>2</xdr:col>
      <xdr:colOff>995600</xdr:colOff>
      <xdr:row>194</xdr:row>
      <xdr:rowOff>1147600</xdr:rowOff>
    </xdr:to>
    <xdr:pic>
      <xdr:nvPicPr>
        <xdr:cNvPr id="81" name="image142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1147600</xdr:colOff>
      <xdr:row>195</xdr:row>
      <xdr:rowOff>866400</xdr:rowOff>
    </xdr:to>
    <xdr:pic>
      <xdr:nvPicPr>
        <xdr:cNvPr id="82" name="image143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196</xdr:row>
      <xdr:rowOff>7600</xdr:rowOff>
    </xdr:from>
    <xdr:to>
      <xdr:col>2</xdr:col>
      <xdr:colOff>999400</xdr:colOff>
      <xdr:row>196</xdr:row>
      <xdr:rowOff>1147600</xdr:rowOff>
    </xdr:to>
    <xdr:pic>
      <xdr:nvPicPr>
        <xdr:cNvPr id="83" name="image144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1147600</xdr:colOff>
      <xdr:row>197</xdr:row>
      <xdr:rowOff>843600</xdr:rowOff>
    </xdr:to>
    <xdr:pic>
      <xdr:nvPicPr>
        <xdr:cNvPr id="84" name="image145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1147600</xdr:colOff>
      <xdr:row>198</xdr:row>
      <xdr:rowOff>866400</xdr:rowOff>
    </xdr:to>
    <xdr:pic>
      <xdr:nvPicPr>
        <xdr:cNvPr id="85" name="image146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1147600</xdr:colOff>
      <xdr:row>199</xdr:row>
      <xdr:rowOff>866400</xdr:rowOff>
    </xdr:to>
    <xdr:pic>
      <xdr:nvPicPr>
        <xdr:cNvPr id="86" name="image147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1147600</xdr:colOff>
      <xdr:row>200</xdr:row>
      <xdr:rowOff>866400</xdr:rowOff>
    </xdr:to>
    <xdr:pic>
      <xdr:nvPicPr>
        <xdr:cNvPr id="87" name="image148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1147600</xdr:colOff>
      <xdr:row>201</xdr:row>
      <xdr:rowOff>843600</xdr:rowOff>
    </xdr:to>
    <xdr:pic>
      <xdr:nvPicPr>
        <xdr:cNvPr id="88" name="image149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1147600</xdr:colOff>
      <xdr:row>202</xdr:row>
      <xdr:rowOff>866400</xdr:rowOff>
    </xdr:to>
    <xdr:pic>
      <xdr:nvPicPr>
        <xdr:cNvPr id="89" name="image150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1147600</xdr:colOff>
      <xdr:row>203</xdr:row>
      <xdr:rowOff>1147600</xdr:rowOff>
    </xdr:to>
    <xdr:pic>
      <xdr:nvPicPr>
        <xdr:cNvPr id="90" name="image151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204</xdr:row>
      <xdr:rowOff>7600</xdr:rowOff>
    </xdr:from>
    <xdr:to>
      <xdr:col>2</xdr:col>
      <xdr:colOff>995600</xdr:colOff>
      <xdr:row>204</xdr:row>
      <xdr:rowOff>1147600</xdr:rowOff>
    </xdr:to>
    <xdr:pic>
      <xdr:nvPicPr>
        <xdr:cNvPr id="91" name="image152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1147600</xdr:colOff>
      <xdr:row>205</xdr:row>
      <xdr:rowOff>1147600</xdr:rowOff>
    </xdr:to>
    <xdr:pic>
      <xdr:nvPicPr>
        <xdr:cNvPr id="92" name="image153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1147600</xdr:colOff>
      <xdr:row>206</xdr:row>
      <xdr:rowOff>1147600</xdr:rowOff>
    </xdr:to>
    <xdr:pic>
      <xdr:nvPicPr>
        <xdr:cNvPr id="93" name="image154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1147600</xdr:colOff>
      <xdr:row>207</xdr:row>
      <xdr:rowOff>866400</xdr:rowOff>
    </xdr:to>
    <xdr:pic>
      <xdr:nvPicPr>
        <xdr:cNvPr id="94" name="image155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102600</xdr:colOff>
      <xdr:row>210</xdr:row>
      <xdr:rowOff>7600</xdr:rowOff>
    </xdr:from>
    <xdr:to>
      <xdr:col>2</xdr:col>
      <xdr:colOff>1037400</xdr:colOff>
      <xdr:row>210</xdr:row>
      <xdr:rowOff>1147600</xdr:rowOff>
    </xdr:to>
    <xdr:pic>
      <xdr:nvPicPr>
        <xdr:cNvPr id="95" name="image156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1147600</xdr:colOff>
      <xdr:row>211</xdr:row>
      <xdr:rowOff>653600</xdr:rowOff>
    </xdr:to>
    <xdr:pic>
      <xdr:nvPicPr>
        <xdr:cNvPr id="96" name="image157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212</xdr:row>
      <xdr:rowOff>7600</xdr:rowOff>
    </xdr:from>
    <xdr:to>
      <xdr:col>2</xdr:col>
      <xdr:colOff>995600</xdr:colOff>
      <xdr:row>212</xdr:row>
      <xdr:rowOff>1147600</xdr:rowOff>
    </xdr:to>
    <xdr:pic>
      <xdr:nvPicPr>
        <xdr:cNvPr id="97" name="image158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1147600</xdr:colOff>
      <xdr:row>213</xdr:row>
      <xdr:rowOff>1147600</xdr:rowOff>
    </xdr:to>
    <xdr:pic>
      <xdr:nvPicPr>
        <xdr:cNvPr id="98" name="image159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1147600</xdr:colOff>
      <xdr:row>214</xdr:row>
      <xdr:rowOff>767600</xdr:rowOff>
    </xdr:to>
    <xdr:pic>
      <xdr:nvPicPr>
        <xdr:cNvPr id="99" name="image160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1147600</xdr:colOff>
      <xdr:row>215</xdr:row>
      <xdr:rowOff>866400</xdr:rowOff>
    </xdr:to>
    <xdr:pic>
      <xdr:nvPicPr>
        <xdr:cNvPr id="100" name="image161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1147600</xdr:colOff>
      <xdr:row>216</xdr:row>
      <xdr:rowOff>790400</xdr:rowOff>
    </xdr:to>
    <xdr:pic>
      <xdr:nvPicPr>
        <xdr:cNvPr id="101" name="image162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217</xdr:row>
      <xdr:rowOff>7600</xdr:rowOff>
    </xdr:from>
    <xdr:to>
      <xdr:col>2</xdr:col>
      <xdr:colOff>995600</xdr:colOff>
      <xdr:row>217</xdr:row>
      <xdr:rowOff>1147600</xdr:rowOff>
    </xdr:to>
    <xdr:pic>
      <xdr:nvPicPr>
        <xdr:cNvPr id="102" name="image163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1147600</xdr:colOff>
      <xdr:row>221</xdr:row>
      <xdr:rowOff>1147600</xdr:rowOff>
    </xdr:to>
    <xdr:pic>
      <xdr:nvPicPr>
        <xdr:cNvPr id="103" name="image164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1147600</xdr:colOff>
      <xdr:row>222</xdr:row>
      <xdr:rowOff>1147600</xdr:rowOff>
    </xdr:to>
    <xdr:pic>
      <xdr:nvPicPr>
        <xdr:cNvPr id="104" name="image165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223</xdr:row>
      <xdr:rowOff>7600</xdr:rowOff>
    </xdr:from>
    <xdr:to>
      <xdr:col>2</xdr:col>
      <xdr:colOff>995600</xdr:colOff>
      <xdr:row>223</xdr:row>
      <xdr:rowOff>1147600</xdr:rowOff>
    </xdr:to>
    <xdr:pic>
      <xdr:nvPicPr>
        <xdr:cNvPr id="105" name="image166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1147600</xdr:colOff>
      <xdr:row>224</xdr:row>
      <xdr:rowOff>858800</xdr:rowOff>
    </xdr:to>
    <xdr:pic>
      <xdr:nvPicPr>
        <xdr:cNvPr id="106" name="image167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1147600</xdr:colOff>
      <xdr:row>225</xdr:row>
      <xdr:rowOff>843600</xdr:rowOff>
    </xdr:to>
    <xdr:pic>
      <xdr:nvPicPr>
        <xdr:cNvPr id="107" name="image168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1147600</xdr:colOff>
      <xdr:row>226</xdr:row>
      <xdr:rowOff>858800</xdr:rowOff>
    </xdr:to>
    <xdr:pic>
      <xdr:nvPicPr>
        <xdr:cNvPr id="108" name="image169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1147600</xdr:colOff>
      <xdr:row>227</xdr:row>
      <xdr:rowOff>851200</xdr:rowOff>
    </xdr:to>
    <xdr:pic>
      <xdr:nvPicPr>
        <xdr:cNvPr id="109" name="image170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228</xdr:row>
      <xdr:rowOff>7600</xdr:rowOff>
    </xdr:from>
    <xdr:to>
      <xdr:col>2</xdr:col>
      <xdr:colOff>995600</xdr:colOff>
      <xdr:row>228</xdr:row>
      <xdr:rowOff>1147600</xdr:rowOff>
    </xdr:to>
    <xdr:pic>
      <xdr:nvPicPr>
        <xdr:cNvPr id="110" name="image171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1147600</xdr:colOff>
      <xdr:row>229</xdr:row>
      <xdr:rowOff>782800</xdr:rowOff>
    </xdr:to>
    <xdr:pic>
      <xdr:nvPicPr>
        <xdr:cNvPr id="111" name="image172.pn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1147600</xdr:colOff>
      <xdr:row>230</xdr:row>
      <xdr:rowOff>767600</xdr:rowOff>
    </xdr:to>
    <xdr:pic>
      <xdr:nvPicPr>
        <xdr:cNvPr id="112" name="image173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1147600</xdr:colOff>
      <xdr:row>231</xdr:row>
      <xdr:rowOff>1147600</xdr:rowOff>
    </xdr:to>
    <xdr:pic>
      <xdr:nvPicPr>
        <xdr:cNvPr id="113" name="image174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1147600</xdr:colOff>
      <xdr:row>232</xdr:row>
      <xdr:rowOff>1147600</xdr:rowOff>
    </xdr:to>
    <xdr:pic>
      <xdr:nvPicPr>
        <xdr:cNvPr id="114" name="image175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233</xdr:row>
      <xdr:rowOff>7600</xdr:rowOff>
    </xdr:from>
    <xdr:to>
      <xdr:col>2</xdr:col>
      <xdr:colOff>999400</xdr:colOff>
      <xdr:row>233</xdr:row>
      <xdr:rowOff>1147600</xdr:rowOff>
    </xdr:to>
    <xdr:pic>
      <xdr:nvPicPr>
        <xdr:cNvPr id="115" name="image176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1147600</xdr:colOff>
      <xdr:row>234</xdr:row>
      <xdr:rowOff>866400</xdr:rowOff>
    </xdr:to>
    <xdr:pic>
      <xdr:nvPicPr>
        <xdr:cNvPr id="116" name="image177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235</xdr:row>
      <xdr:rowOff>7600</xdr:rowOff>
    </xdr:from>
    <xdr:to>
      <xdr:col>2</xdr:col>
      <xdr:colOff>1010800</xdr:colOff>
      <xdr:row>235</xdr:row>
      <xdr:rowOff>1147600</xdr:rowOff>
    </xdr:to>
    <xdr:pic>
      <xdr:nvPicPr>
        <xdr:cNvPr id="117" name="image178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1147600</xdr:colOff>
      <xdr:row>236</xdr:row>
      <xdr:rowOff>1147600</xdr:rowOff>
    </xdr:to>
    <xdr:pic>
      <xdr:nvPicPr>
        <xdr:cNvPr id="118" name="image179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1147600</xdr:colOff>
      <xdr:row>237</xdr:row>
      <xdr:rowOff>858800</xdr:rowOff>
    </xdr:to>
    <xdr:pic>
      <xdr:nvPicPr>
        <xdr:cNvPr id="119" name="image180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1147600</xdr:colOff>
      <xdr:row>238</xdr:row>
      <xdr:rowOff>600400</xdr:rowOff>
    </xdr:to>
    <xdr:pic>
      <xdr:nvPicPr>
        <xdr:cNvPr id="120" name="image181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239</xdr:row>
      <xdr:rowOff>7600</xdr:rowOff>
    </xdr:from>
    <xdr:to>
      <xdr:col>2</xdr:col>
      <xdr:colOff>995600</xdr:colOff>
      <xdr:row>239</xdr:row>
      <xdr:rowOff>1147600</xdr:rowOff>
    </xdr:to>
    <xdr:pic>
      <xdr:nvPicPr>
        <xdr:cNvPr id="121" name="image182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242</xdr:row>
      <xdr:rowOff>7600</xdr:rowOff>
    </xdr:from>
    <xdr:to>
      <xdr:col>2</xdr:col>
      <xdr:colOff>1010800</xdr:colOff>
      <xdr:row>242</xdr:row>
      <xdr:rowOff>1147600</xdr:rowOff>
    </xdr:to>
    <xdr:pic>
      <xdr:nvPicPr>
        <xdr:cNvPr id="122" name="image183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1147600</xdr:colOff>
      <xdr:row>243</xdr:row>
      <xdr:rowOff>919600</xdr:rowOff>
    </xdr:to>
    <xdr:pic>
      <xdr:nvPicPr>
        <xdr:cNvPr id="123" name="image184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1147600</xdr:colOff>
      <xdr:row>244</xdr:row>
      <xdr:rowOff>874000</xdr:rowOff>
    </xdr:to>
    <xdr:pic>
      <xdr:nvPicPr>
        <xdr:cNvPr id="124" name="image18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245</xdr:row>
      <xdr:rowOff>7600</xdr:rowOff>
    </xdr:from>
    <xdr:to>
      <xdr:col>2</xdr:col>
      <xdr:colOff>995600</xdr:colOff>
      <xdr:row>245</xdr:row>
      <xdr:rowOff>1147600</xdr:rowOff>
    </xdr:to>
    <xdr:pic>
      <xdr:nvPicPr>
        <xdr:cNvPr id="125" name="image186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246</xdr:row>
      <xdr:rowOff>7600</xdr:rowOff>
    </xdr:from>
    <xdr:to>
      <xdr:col>2</xdr:col>
      <xdr:colOff>950000</xdr:colOff>
      <xdr:row>246</xdr:row>
      <xdr:rowOff>1147600</xdr:rowOff>
    </xdr:to>
    <xdr:pic>
      <xdr:nvPicPr>
        <xdr:cNvPr id="126" name="image187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1147600</xdr:colOff>
      <xdr:row>247</xdr:row>
      <xdr:rowOff>934800</xdr:rowOff>
    </xdr:to>
    <xdr:pic>
      <xdr:nvPicPr>
        <xdr:cNvPr id="127" name="image188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1147600</xdr:colOff>
      <xdr:row>248</xdr:row>
      <xdr:rowOff>1147600</xdr:rowOff>
    </xdr:to>
    <xdr:pic>
      <xdr:nvPicPr>
        <xdr:cNvPr id="128" name="image189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249</xdr:row>
      <xdr:rowOff>7600</xdr:rowOff>
    </xdr:from>
    <xdr:to>
      <xdr:col>2</xdr:col>
      <xdr:colOff>950000</xdr:colOff>
      <xdr:row>249</xdr:row>
      <xdr:rowOff>1147600</xdr:rowOff>
    </xdr:to>
    <xdr:pic>
      <xdr:nvPicPr>
        <xdr:cNvPr id="129" name="image190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1147600</xdr:colOff>
      <xdr:row>250</xdr:row>
      <xdr:rowOff>744800</xdr:rowOff>
    </xdr:to>
    <xdr:pic>
      <xdr:nvPicPr>
        <xdr:cNvPr id="130" name="image191.pn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1147600</xdr:colOff>
      <xdr:row>251</xdr:row>
      <xdr:rowOff>1147600</xdr:rowOff>
    </xdr:to>
    <xdr:pic>
      <xdr:nvPicPr>
        <xdr:cNvPr id="131" name="image192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1147600</xdr:colOff>
      <xdr:row>252</xdr:row>
      <xdr:rowOff>1147600</xdr:rowOff>
    </xdr:to>
    <xdr:pic>
      <xdr:nvPicPr>
        <xdr:cNvPr id="132" name="image193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253</xdr:row>
      <xdr:rowOff>7600</xdr:rowOff>
    </xdr:from>
    <xdr:to>
      <xdr:col>2</xdr:col>
      <xdr:colOff>995600</xdr:colOff>
      <xdr:row>253</xdr:row>
      <xdr:rowOff>1147600</xdr:rowOff>
    </xdr:to>
    <xdr:pic>
      <xdr:nvPicPr>
        <xdr:cNvPr id="133" name="image194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1147600</xdr:colOff>
      <xdr:row>254</xdr:row>
      <xdr:rowOff>1147600</xdr:rowOff>
    </xdr:to>
    <xdr:pic>
      <xdr:nvPicPr>
        <xdr:cNvPr id="134" name="image195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255</xdr:row>
      <xdr:rowOff>7600</xdr:rowOff>
    </xdr:from>
    <xdr:to>
      <xdr:col>2</xdr:col>
      <xdr:colOff>950000</xdr:colOff>
      <xdr:row>255</xdr:row>
      <xdr:rowOff>1147600</xdr:rowOff>
    </xdr:to>
    <xdr:pic>
      <xdr:nvPicPr>
        <xdr:cNvPr id="135" name="image196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155800</xdr:colOff>
      <xdr:row>256</xdr:row>
      <xdr:rowOff>7600</xdr:rowOff>
    </xdr:from>
    <xdr:to>
      <xdr:col>2</xdr:col>
      <xdr:colOff>984200</xdr:colOff>
      <xdr:row>256</xdr:row>
      <xdr:rowOff>1147600</xdr:rowOff>
    </xdr:to>
    <xdr:pic>
      <xdr:nvPicPr>
        <xdr:cNvPr id="136" name="image197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1147600</xdr:colOff>
      <xdr:row>257</xdr:row>
      <xdr:rowOff>1147600</xdr:rowOff>
    </xdr:to>
    <xdr:pic>
      <xdr:nvPicPr>
        <xdr:cNvPr id="137" name="image198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1147600</xdr:colOff>
      <xdr:row>258</xdr:row>
      <xdr:rowOff>858800</xdr:rowOff>
    </xdr:to>
    <xdr:pic>
      <xdr:nvPicPr>
        <xdr:cNvPr id="138" name="image199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1147600</xdr:colOff>
      <xdr:row>259</xdr:row>
      <xdr:rowOff>934800</xdr:rowOff>
    </xdr:to>
    <xdr:pic>
      <xdr:nvPicPr>
        <xdr:cNvPr id="139" name="image200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1147600</xdr:colOff>
      <xdr:row>260</xdr:row>
      <xdr:rowOff>668800</xdr:rowOff>
    </xdr:to>
    <xdr:pic>
      <xdr:nvPicPr>
        <xdr:cNvPr id="140" name="image201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1147600</xdr:colOff>
      <xdr:row>261</xdr:row>
      <xdr:rowOff>1147600</xdr:rowOff>
    </xdr:to>
    <xdr:pic>
      <xdr:nvPicPr>
        <xdr:cNvPr id="141" name="image202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1147600</xdr:colOff>
      <xdr:row>262</xdr:row>
      <xdr:rowOff>988000</xdr:rowOff>
    </xdr:to>
    <xdr:pic>
      <xdr:nvPicPr>
        <xdr:cNvPr id="142" name="image203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41800</xdr:colOff>
      <xdr:row>263</xdr:row>
      <xdr:rowOff>7600</xdr:rowOff>
    </xdr:from>
    <xdr:to>
      <xdr:col>2</xdr:col>
      <xdr:colOff>1098200</xdr:colOff>
      <xdr:row>263</xdr:row>
      <xdr:rowOff>1147600</xdr:rowOff>
    </xdr:to>
    <xdr:pic>
      <xdr:nvPicPr>
        <xdr:cNvPr id="143" name="image204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264</xdr:row>
      <xdr:rowOff>7600</xdr:rowOff>
    </xdr:from>
    <xdr:to>
      <xdr:col>2</xdr:col>
      <xdr:colOff>995600</xdr:colOff>
      <xdr:row>264</xdr:row>
      <xdr:rowOff>1147600</xdr:rowOff>
    </xdr:to>
    <xdr:pic>
      <xdr:nvPicPr>
        <xdr:cNvPr id="144" name="image205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1147600</xdr:colOff>
      <xdr:row>265</xdr:row>
      <xdr:rowOff>1147600</xdr:rowOff>
    </xdr:to>
    <xdr:pic>
      <xdr:nvPicPr>
        <xdr:cNvPr id="145" name="image206.pn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15200</xdr:colOff>
      <xdr:row>266</xdr:row>
      <xdr:rowOff>7600</xdr:rowOff>
    </xdr:from>
    <xdr:to>
      <xdr:col>2</xdr:col>
      <xdr:colOff>1124800</xdr:colOff>
      <xdr:row>266</xdr:row>
      <xdr:rowOff>1147600</xdr:rowOff>
    </xdr:to>
    <xdr:pic>
      <xdr:nvPicPr>
        <xdr:cNvPr id="146" name="image207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1147600</xdr:colOff>
      <xdr:row>267</xdr:row>
      <xdr:rowOff>1147600</xdr:rowOff>
    </xdr:to>
    <xdr:pic>
      <xdr:nvPicPr>
        <xdr:cNvPr id="147" name="image208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1147600</xdr:colOff>
      <xdr:row>268</xdr:row>
      <xdr:rowOff>1147600</xdr:rowOff>
    </xdr:to>
    <xdr:pic>
      <xdr:nvPicPr>
        <xdr:cNvPr id="148" name="image209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1147600</xdr:colOff>
      <xdr:row>269</xdr:row>
      <xdr:rowOff>866400</xdr:rowOff>
    </xdr:to>
    <xdr:pic>
      <xdr:nvPicPr>
        <xdr:cNvPr id="149" name="image210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1147600</xdr:colOff>
      <xdr:row>270</xdr:row>
      <xdr:rowOff>1018400</xdr:rowOff>
    </xdr:to>
    <xdr:pic>
      <xdr:nvPicPr>
        <xdr:cNvPr id="150" name="image211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1147600</xdr:colOff>
      <xdr:row>271</xdr:row>
      <xdr:rowOff>874000</xdr:rowOff>
    </xdr:to>
    <xdr:pic>
      <xdr:nvPicPr>
        <xdr:cNvPr id="151" name="image212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272</xdr:row>
      <xdr:rowOff>7600</xdr:rowOff>
    </xdr:from>
    <xdr:to>
      <xdr:col>2</xdr:col>
      <xdr:colOff>995600</xdr:colOff>
      <xdr:row>272</xdr:row>
      <xdr:rowOff>1147600</xdr:rowOff>
    </xdr:to>
    <xdr:pic>
      <xdr:nvPicPr>
        <xdr:cNvPr id="152" name="image213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98800</xdr:colOff>
      <xdr:row>273</xdr:row>
      <xdr:rowOff>7600</xdr:rowOff>
    </xdr:from>
    <xdr:to>
      <xdr:col>2</xdr:col>
      <xdr:colOff>1041200</xdr:colOff>
      <xdr:row>273</xdr:row>
      <xdr:rowOff>1147600</xdr:rowOff>
    </xdr:to>
    <xdr:pic>
      <xdr:nvPicPr>
        <xdr:cNvPr id="153" name="image214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1147600</xdr:colOff>
      <xdr:row>274</xdr:row>
      <xdr:rowOff>1048800</xdr:rowOff>
    </xdr:to>
    <xdr:pic>
      <xdr:nvPicPr>
        <xdr:cNvPr id="154" name="image215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1147600</xdr:colOff>
      <xdr:row>275</xdr:row>
      <xdr:rowOff>775200</xdr:rowOff>
    </xdr:to>
    <xdr:pic>
      <xdr:nvPicPr>
        <xdr:cNvPr id="155" name="image216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1147600</xdr:colOff>
      <xdr:row>276</xdr:row>
      <xdr:rowOff>775200</xdr:rowOff>
    </xdr:to>
    <xdr:pic>
      <xdr:nvPicPr>
        <xdr:cNvPr id="156" name="image217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1147600</xdr:colOff>
      <xdr:row>277</xdr:row>
      <xdr:rowOff>767600</xdr:rowOff>
    </xdr:to>
    <xdr:pic>
      <xdr:nvPicPr>
        <xdr:cNvPr id="157" name="image218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1147600</xdr:colOff>
      <xdr:row>278</xdr:row>
      <xdr:rowOff>1147600</xdr:rowOff>
    </xdr:to>
    <xdr:pic>
      <xdr:nvPicPr>
        <xdr:cNvPr id="158" name="image219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1147600</xdr:colOff>
      <xdr:row>279</xdr:row>
      <xdr:rowOff>668800</xdr:rowOff>
    </xdr:to>
    <xdr:pic>
      <xdr:nvPicPr>
        <xdr:cNvPr id="159" name="image220.pn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1147600</xdr:colOff>
      <xdr:row>280</xdr:row>
      <xdr:rowOff>881600</xdr:rowOff>
    </xdr:to>
    <xdr:pic>
      <xdr:nvPicPr>
        <xdr:cNvPr id="160" name="image221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1147600</xdr:colOff>
      <xdr:row>281</xdr:row>
      <xdr:rowOff>790400</xdr:rowOff>
    </xdr:to>
    <xdr:pic>
      <xdr:nvPicPr>
        <xdr:cNvPr id="161" name="image222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1147600</xdr:colOff>
      <xdr:row>282</xdr:row>
      <xdr:rowOff>790400</xdr:rowOff>
    </xdr:to>
    <xdr:pic>
      <xdr:nvPicPr>
        <xdr:cNvPr id="162" name="image223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1147600</xdr:colOff>
      <xdr:row>283</xdr:row>
      <xdr:rowOff>1079200</xdr:rowOff>
    </xdr:to>
    <xdr:pic>
      <xdr:nvPicPr>
        <xdr:cNvPr id="163" name="image224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1147600</xdr:colOff>
      <xdr:row>284</xdr:row>
      <xdr:rowOff>866400</xdr:rowOff>
    </xdr:to>
    <xdr:pic>
      <xdr:nvPicPr>
        <xdr:cNvPr id="164" name="image225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1147600</xdr:colOff>
      <xdr:row>285</xdr:row>
      <xdr:rowOff>866400</xdr:rowOff>
    </xdr:to>
    <xdr:pic>
      <xdr:nvPicPr>
        <xdr:cNvPr id="165" name="image226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1147600</xdr:colOff>
      <xdr:row>286</xdr:row>
      <xdr:rowOff>1147600</xdr:rowOff>
    </xdr:to>
    <xdr:pic>
      <xdr:nvPicPr>
        <xdr:cNvPr id="166" name="image227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1147600</xdr:colOff>
      <xdr:row>287</xdr:row>
      <xdr:rowOff>790400</xdr:rowOff>
    </xdr:to>
    <xdr:pic>
      <xdr:nvPicPr>
        <xdr:cNvPr id="167" name="image228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1147600</xdr:colOff>
      <xdr:row>288</xdr:row>
      <xdr:rowOff>775200</xdr:rowOff>
    </xdr:to>
    <xdr:pic>
      <xdr:nvPicPr>
        <xdr:cNvPr id="168" name="image229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1147600</xdr:colOff>
      <xdr:row>289</xdr:row>
      <xdr:rowOff>1147600</xdr:rowOff>
    </xdr:to>
    <xdr:pic>
      <xdr:nvPicPr>
        <xdr:cNvPr id="169" name="image230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1147600</xdr:colOff>
      <xdr:row>290</xdr:row>
      <xdr:rowOff>836000</xdr:rowOff>
    </xdr:to>
    <xdr:pic>
      <xdr:nvPicPr>
        <xdr:cNvPr id="170" name="image231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1147600</xdr:colOff>
      <xdr:row>291</xdr:row>
      <xdr:rowOff>775200</xdr:rowOff>
    </xdr:to>
    <xdr:pic>
      <xdr:nvPicPr>
        <xdr:cNvPr id="171" name="image232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293</xdr:row>
      <xdr:rowOff>7600</xdr:rowOff>
    </xdr:from>
    <xdr:to>
      <xdr:col>2</xdr:col>
      <xdr:colOff>1026000</xdr:colOff>
      <xdr:row>296</xdr:row>
      <xdr:rowOff>273599</xdr:rowOff>
    </xdr:to>
    <xdr:pic>
      <xdr:nvPicPr>
        <xdr:cNvPr id="172" name="image233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299</xdr:row>
      <xdr:rowOff>7600</xdr:rowOff>
    </xdr:from>
    <xdr:to>
      <xdr:col>2</xdr:col>
      <xdr:colOff>995600</xdr:colOff>
      <xdr:row>299</xdr:row>
      <xdr:rowOff>1147600</xdr:rowOff>
    </xdr:to>
    <xdr:pic>
      <xdr:nvPicPr>
        <xdr:cNvPr id="173" name="image234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300</xdr:row>
      <xdr:rowOff>7600</xdr:rowOff>
    </xdr:from>
    <xdr:to>
      <xdr:col>2</xdr:col>
      <xdr:colOff>1052600</xdr:colOff>
      <xdr:row>300</xdr:row>
      <xdr:rowOff>1147600</xdr:rowOff>
    </xdr:to>
    <xdr:pic>
      <xdr:nvPicPr>
        <xdr:cNvPr id="174" name="image235.pn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1147600</xdr:colOff>
      <xdr:row>303</xdr:row>
      <xdr:rowOff>324266</xdr:rowOff>
    </xdr:to>
    <xdr:pic>
      <xdr:nvPicPr>
        <xdr:cNvPr id="175" name="image236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1147600</xdr:colOff>
      <xdr:row>304</xdr:row>
      <xdr:rowOff>775200</xdr:rowOff>
    </xdr:to>
    <xdr:pic>
      <xdr:nvPicPr>
        <xdr:cNvPr id="176" name="image237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1147600</xdr:colOff>
      <xdr:row>305</xdr:row>
      <xdr:rowOff>866400</xdr:rowOff>
    </xdr:to>
    <xdr:pic>
      <xdr:nvPicPr>
        <xdr:cNvPr id="177" name="image238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306</xdr:row>
      <xdr:rowOff>7600</xdr:rowOff>
    </xdr:from>
    <xdr:to>
      <xdr:col>2</xdr:col>
      <xdr:colOff>999400</xdr:colOff>
      <xdr:row>306</xdr:row>
      <xdr:rowOff>1147600</xdr:rowOff>
    </xdr:to>
    <xdr:pic>
      <xdr:nvPicPr>
        <xdr:cNvPr id="178" name="image239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1147600</xdr:colOff>
      <xdr:row>307</xdr:row>
      <xdr:rowOff>1094400</xdr:rowOff>
    </xdr:to>
    <xdr:pic>
      <xdr:nvPicPr>
        <xdr:cNvPr id="179" name="image240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309</xdr:row>
      <xdr:rowOff>7600</xdr:rowOff>
    </xdr:from>
    <xdr:to>
      <xdr:col>2</xdr:col>
      <xdr:colOff>969000</xdr:colOff>
      <xdr:row>311</xdr:row>
      <xdr:rowOff>374933</xdr:rowOff>
    </xdr:to>
    <xdr:pic>
      <xdr:nvPicPr>
        <xdr:cNvPr id="180" name="image241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312</xdr:row>
      <xdr:rowOff>7600</xdr:rowOff>
    </xdr:from>
    <xdr:to>
      <xdr:col>2</xdr:col>
      <xdr:colOff>999400</xdr:colOff>
      <xdr:row>315</xdr:row>
      <xdr:rowOff>273599</xdr:rowOff>
    </xdr:to>
    <xdr:pic>
      <xdr:nvPicPr>
        <xdr:cNvPr id="181" name="image242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1147600</xdr:colOff>
      <xdr:row>321</xdr:row>
      <xdr:rowOff>273599</xdr:rowOff>
    </xdr:to>
    <xdr:pic>
      <xdr:nvPicPr>
        <xdr:cNvPr id="182" name="image243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1147600</xdr:colOff>
      <xdr:row>325</xdr:row>
      <xdr:rowOff>374933</xdr:rowOff>
    </xdr:to>
    <xdr:pic>
      <xdr:nvPicPr>
        <xdr:cNvPr id="183" name="image244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1147600</xdr:colOff>
      <xdr:row>329</xdr:row>
      <xdr:rowOff>1147600</xdr:rowOff>
    </xdr:to>
    <xdr:pic>
      <xdr:nvPicPr>
        <xdr:cNvPr id="184" name="image245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1147600</xdr:colOff>
      <xdr:row>330</xdr:row>
      <xdr:rowOff>1147600</xdr:rowOff>
    </xdr:to>
    <xdr:pic>
      <xdr:nvPicPr>
        <xdr:cNvPr id="185" name="image246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1147600</xdr:colOff>
      <xdr:row>331</xdr:row>
      <xdr:rowOff>1147600</xdr:rowOff>
    </xdr:to>
    <xdr:pic>
      <xdr:nvPicPr>
        <xdr:cNvPr id="186" name="image247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1147600</xdr:colOff>
      <xdr:row>332</xdr:row>
      <xdr:rowOff>1147600</xdr:rowOff>
    </xdr:to>
    <xdr:pic>
      <xdr:nvPicPr>
        <xdr:cNvPr id="187" name="image248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1147600</xdr:colOff>
      <xdr:row>333</xdr:row>
      <xdr:rowOff>1147600</xdr:rowOff>
    </xdr:to>
    <xdr:pic>
      <xdr:nvPicPr>
        <xdr:cNvPr id="188" name="image249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1147600</xdr:colOff>
      <xdr:row>334</xdr:row>
      <xdr:rowOff>1147600</xdr:rowOff>
    </xdr:to>
    <xdr:pic>
      <xdr:nvPicPr>
        <xdr:cNvPr id="189" name="image250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1147600</xdr:colOff>
      <xdr:row>335</xdr:row>
      <xdr:rowOff>1147600</xdr:rowOff>
    </xdr:to>
    <xdr:pic>
      <xdr:nvPicPr>
        <xdr:cNvPr id="190" name="image251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1147600</xdr:colOff>
      <xdr:row>336</xdr:row>
      <xdr:rowOff>1147600</xdr:rowOff>
    </xdr:to>
    <xdr:pic>
      <xdr:nvPicPr>
        <xdr:cNvPr id="191" name="image252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1147600</xdr:colOff>
      <xdr:row>337</xdr:row>
      <xdr:rowOff>1147600</xdr:rowOff>
    </xdr:to>
    <xdr:pic>
      <xdr:nvPicPr>
        <xdr:cNvPr id="192" name="image253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60800</xdr:colOff>
      <xdr:row>339</xdr:row>
      <xdr:rowOff>7600</xdr:rowOff>
    </xdr:from>
    <xdr:to>
      <xdr:col>2</xdr:col>
      <xdr:colOff>1079200</xdr:colOff>
      <xdr:row>339</xdr:row>
      <xdr:rowOff>1147600</xdr:rowOff>
    </xdr:to>
    <xdr:pic>
      <xdr:nvPicPr>
        <xdr:cNvPr id="193" name="image254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193800</xdr:colOff>
      <xdr:row>341</xdr:row>
      <xdr:rowOff>7600</xdr:rowOff>
    </xdr:from>
    <xdr:to>
      <xdr:col>2</xdr:col>
      <xdr:colOff>946200</xdr:colOff>
      <xdr:row>341</xdr:row>
      <xdr:rowOff>1147600</xdr:rowOff>
    </xdr:to>
    <xdr:pic>
      <xdr:nvPicPr>
        <xdr:cNvPr id="194" name="image255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1147600</xdr:colOff>
      <xdr:row>345</xdr:row>
      <xdr:rowOff>273599</xdr:rowOff>
    </xdr:to>
    <xdr:pic>
      <xdr:nvPicPr>
        <xdr:cNvPr id="195" name="image256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1147600</xdr:colOff>
      <xdr:row>350</xdr:row>
      <xdr:rowOff>273599</xdr:rowOff>
    </xdr:to>
    <xdr:pic>
      <xdr:nvPicPr>
        <xdr:cNvPr id="196" name="image257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1147600</xdr:colOff>
      <xdr:row>353</xdr:row>
      <xdr:rowOff>374933</xdr:rowOff>
    </xdr:to>
    <xdr:pic>
      <xdr:nvPicPr>
        <xdr:cNvPr id="197" name="image258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1147600</xdr:colOff>
      <xdr:row>7</xdr:row>
      <xdr:rowOff>225466</xdr:rowOff>
    </xdr:to>
    <xdr:pic>
      <xdr:nvPicPr>
        <xdr:cNvPr id="1" name="image259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1147600</xdr:colOff>
      <xdr:row>12</xdr:row>
      <xdr:rowOff>571266</xdr:rowOff>
    </xdr:to>
    <xdr:pic>
      <xdr:nvPicPr>
        <xdr:cNvPr id="2" name="image26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1147600</xdr:colOff>
      <xdr:row>15</xdr:row>
      <xdr:rowOff>767600</xdr:rowOff>
    </xdr:to>
    <xdr:pic>
      <xdr:nvPicPr>
        <xdr:cNvPr id="3" name="image261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1147600</xdr:colOff>
      <xdr:row>20</xdr:row>
      <xdr:rowOff>273599</xdr:rowOff>
    </xdr:to>
    <xdr:pic>
      <xdr:nvPicPr>
        <xdr:cNvPr id="4" name="image262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22</xdr:row>
      <xdr:rowOff>7600</xdr:rowOff>
    </xdr:from>
    <xdr:to>
      <xdr:col>2</xdr:col>
      <xdr:colOff>999400</xdr:colOff>
      <xdr:row>25</xdr:row>
      <xdr:rowOff>273599</xdr:rowOff>
    </xdr:to>
    <xdr:pic>
      <xdr:nvPicPr>
        <xdr:cNvPr id="5" name="image263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1147600</xdr:colOff>
      <xdr:row>31</xdr:row>
      <xdr:rowOff>283733</xdr:rowOff>
    </xdr:to>
    <xdr:pic>
      <xdr:nvPicPr>
        <xdr:cNvPr id="6" name="image264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33</xdr:row>
      <xdr:rowOff>7600</xdr:rowOff>
    </xdr:from>
    <xdr:to>
      <xdr:col>2</xdr:col>
      <xdr:colOff>1026000</xdr:colOff>
      <xdr:row>35</xdr:row>
      <xdr:rowOff>374933</xdr:rowOff>
    </xdr:to>
    <xdr:pic>
      <xdr:nvPicPr>
        <xdr:cNvPr id="7" name="image265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1147600</xdr:colOff>
      <xdr:row>37</xdr:row>
      <xdr:rowOff>1147600</xdr:rowOff>
    </xdr:to>
    <xdr:pic>
      <xdr:nvPicPr>
        <xdr:cNvPr id="8" name="image266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1147600</xdr:colOff>
      <xdr:row>39</xdr:row>
      <xdr:rowOff>571266</xdr:rowOff>
    </xdr:to>
    <xdr:pic>
      <xdr:nvPicPr>
        <xdr:cNvPr id="9" name="image267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1147600</xdr:colOff>
      <xdr:row>45</xdr:row>
      <xdr:rowOff>235600</xdr:rowOff>
    </xdr:to>
    <xdr:pic>
      <xdr:nvPicPr>
        <xdr:cNvPr id="10" name="image26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1147600</xdr:colOff>
      <xdr:row>50</xdr:row>
      <xdr:rowOff>235600</xdr:rowOff>
    </xdr:to>
    <xdr:pic>
      <xdr:nvPicPr>
        <xdr:cNvPr id="11" name="image269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1147600</xdr:colOff>
      <xdr:row>55</xdr:row>
      <xdr:rowOff>178599</xdr:rowOff>
    </xdr:to>
    <xdr:pic>
      <xdr:nvPicPr>
        <xdr:cNvPr id="12" name="image27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1147600</xdr:colOff>
      <xdr:row>57</xdr:row>
      <xdr:rowOff>447133</xdr:rowOff>
    </xdr:to>
    <xdr:pic>
      <xdr:nvPicPr>
        <xdr:cNvPr id="13" name="image271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1147600</xdr:colOff>
      <xdr:row>62</xdr:row>
      <xdr:rowOff>374933</xdr:rowOff>
    </xdr:to>
    <xdr:pic>
      <xdr:nvPicPr>
        <xdr:cNvPr id="14" name="image272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</xdr:colOff>
      <xdr:row>64</xdr:row>
      <xdr:rowOff>7600</xdr:rowOff>
    </xdr:from>
    <xdr:to>
      <xdr:col>2</xdr:col>
      <xdr:colOff>1128600</xdr:colOff>
      <xdr:row>64</xdr:row>
      <xdr:rowOff>1147600</xdr:rowOff>
    </xdr:to>
    <xdr:pic>
      <xdr:nvPicPr>
        <xdr:cNvPr id="15" name="image273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1147600</xdr:colOff>
      <xdr:row>65</xdr:row>
      <xdr:rowOff>858800</xdr:rowOff>
    </xdr:to>
    <xdr:pic>
      <xdr:nvPicPr>
        <xdr:cNvPr id="16" name="image274.pn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1147600</xdr:colOff>
      <xdr:row>68</xdr:row>
      <xdr:rowOff>283733</xdr:rowOff>
    </xdr:to>
    <xdr:pic>
      <xdr:nvPicPr>
        <xdr:cNvPr id="17" name="image275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1147600</xdr:colOff>
      <xdr:row>72</xdr:row>
      <xdr:rowOff>260933</xdr:rowOff>
    </xdr:to>
    <xdr:pic>
      <xdr:nvPicPr>
        <xdr:cNvPr id="18" name="image276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1147600</xdr:colOff>
      <xdr:row>76</xdr:row>
      <xdr:rowOff>374933</xdr:rowOff>
    </xdr:to>
    <xdr:pic>
      <xdr:nvPicPr>
        <xdr:cNvPr id="19" name="image277.pn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1147600</xdr:colOff>
      <xdr:row>81</xdr:row>
      <xdr:rowOff>273599</xdr:rowOff>
    </xdr:to>
    <xdr:pic>
      <xdr:nvPicPr>
        <xdr:cNvPr id="20" name="image278.pn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1147600</xdr:colOff>
      <xdr:row>87</xdr:row>
      <xdr:rowOff>235600</xdr:rowOff>
    </xdr:to>
    <xdr:pic>
      <xdr:nvPicPr>
        <xdr:cNvPr id="21" name="image27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1147600</xdr:colOff>
      <xdr:row>91</xdr:row>
      <xdr:rowOff>571266</xdr:rowOff>
    </xdr:to>
    <xdr:pic>
      <xdr:nvPicPr>
        <xdr:cNvPr id="22" name="image280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1147600</xdr:colOff>
      <xdr:row>94</xdr:row>
      <xdr:rowOff>222933</xdr:rowOff>
    </xdr:to>
    <xdr:pic>
      <xdr:nvPicPr>
        <xdr:cNvPr id="23" name="image281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1147600</xdr:colOff>
      <xdr:row>97</xdr:row>
      <xdr:rowOff>283733</xdr:rowOff>
    </xdr:to>
    <xdr:pic>
      <xdr:nvPicPr>
        <xdr:cNvPr id="24" name="image282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1147600</xdr:colOff>
      <xdr:row>101</xdr:row>
      <xdr:rowOff>202666</xdr:rowOff>
    </xdr:to>
    <xdr:pic>
      <xdr:nvPicPr>
        <xdr:cNvPr id="25" name="image283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1147600</xdr:colOff>
      <xdr:row>104</xdr:row>
      <xdr:rowOff>202666</xdr:rowOff>
    </xdr:to>
    <xdr:pic>
      <xdr:nvPicPr>
        <xdr:cNvPr id="26" name="image284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1147600</xdr:colOff>
      <xdr:row>107</xdr:row>
      <xdr:rowOff>202666</xdr:rowOff>
    </xdr:to>
    <xdr:pic>
      <xdr:nvPicPr>
        <xdr:cNvPr id="27" name="image285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1147600</xdr:colOff>
      <xdr:row>112</xdr:row>
      <xdr:rowOff>235600</xdr:rowOff>
    </xdr:to>
    <xdr:pic>
      <xdr:nvPicPr>
        <xdr:cNvPr id="28" name="image286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1147600</xdr:colOff>
      <xdr:row>117</xdr:row>
      <xdr:rowOff>273599</xdr:rowOff>
    </xdr:to>
    <xdr:pic>
      <xdr:nvPicPr>
        <xdr:cNvPr id="29" name="image287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1147600</xdr:colOff>
      <xdr:row>121</xdr:row>
      <xdr:rowOff>273599</xdr:rowOff>
    </xdr:to>
    <xdr:pic>
      <xdr:nvPicPr>
        <xdr:cNvPr id="30" name="image288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1147600</xdr:colOff>
      <xdr:row>124</xdr:row>
      <xdr:rowOff>571266</xdr:rowOff>
    </xdr:to>
    <xdr:pic>
      <xdr:nvPicPr>
        <xdr:cNvPr id="31" name="image289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1147600</xdr:colOff>
      <xdr:row>129</xdr:row>
      <xdr:rowOff>235600</xdr:rowOff>
    </xdr:to>
    <xdr:pic>
      <xdr:nvPicPr>
        <xdr:cNvPr id="32" name="image290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1147600</xdr:colOff>
      <xdr:row>134</xdr:row>
      <xdr:rowOff>374933</xdr:rowOff>
    </xdr:to>
    <xdr:pic>
      <xdr:nvPicPr>
        <xdr:cNvPr id="33" name="image291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1147600</xdr:colOff>
      <xdr:row>137</xdr:row>
      <xdr:rowOff>374933</xdr:rowOff>
    </xdr:to>
    <xdr:pic>
      <xdr:nvPicPr>
        <xdr:cNvPr id="34" name="image292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1147600</xdr:colOff>
      <xdr:row>140</xdr:row>
      <xdr:rowOff>374933</xdr:rowOff>
    </xdr:to>
    <xdr:pic>
      <xdr:nvPicPr>
        <xdr:cNvPr id="35" name="image293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1147600</xdr:colOff>
      <xdr:row>146</xdr:row>
      <xdr:rowOff>129200</xdr:rowOff>
    </xdr:to>
    <xdr:pic>
      <xdr:nvPicPr>
        <xdr:cNvPr id="36" name="image294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1147600</xdr:colOff>
      <xdr:row>151</xdr:row>
      <xdr:rowOff>235600</xdr:rowOff>
    </xdr:to>
    <xdr:pic>
      <xdr:nvPicPr>
        <xdr:cNvPr id="37" name="image295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1147600</xdr:colOff>
      <xdr:row>155</xdr:row>
      <xdr:rowOff>374933</xdr:rowOff>
    </xdr:to>
    <xdr:pic>
      <xdr:nvPicPr>
        <xdr:cNvPr id="38" name="image296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1147600</xdr:colOff>
      <xdr:row>158</xdr:row>
      <xdr:rowOff>374933</xdr:rowOff>
    </xdr:to>
    <xdr:pic>
      <xdr:nvPicPr>
        <xdr:cNvPr id="39" name="image297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1147600</xdr:colOff>
      <xdr:row>160</xdr:row>
      <xdr:rowOff>571266</xdr:rowOff>
    </xdr:to>
    <xdr:pic>
      <xdr:nvPicPr>
        <xdr:cNvPr id="40" name="image298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1147600</xdr:colOff>
      <xdr:row>162</xdr:row>
      <xdr:rowOff>571266</xdr:rowOff>
    </xdr:to>
    <xdr:pic>
      <xdr:nvPicPr>
        <xdr:cNvPr id="41" name="image299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1147600</xdr:colOff>
      <xdr:row>164</xdr:row>
      <xdr:rowOff>571266</xdr:rowOff>
    </xdr:to>
    <xdr:pic>
      <xdr:nvPicPr>
        <xdr:cNvPr id="42" name="image300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1147600</xdr:colOff>
      <xdr:row>169</xdr:row>
      <xdr:rowOff>178599</xdr:rowOff>
    </xdr:to>
    <xdr:pic>
      <xdr:nvPicPr>
        <xdr:cNvPr id="43" name="image301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1147600</xdr:colOff>
      <xdr:row>173</xdr:row>
      <xdr:rowOff>273599</xdr:rowOff>
    </xdr:to>
    <xdr:pic>
      <xdr:nvPicPr>
        <xdr:cNvPr id="44" name="image302.pn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1147600</xdr:colOff>
      <xdr:row>180</xdr:row>
      <xdr:rowOff>273599</xdr:rowOff>
    </xdr:to>
    <xdr:pic>
      <xdr:nvPicPr>
        <xdr:cNvPr id="45" name="image303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1147600</xdr:colOff>
      <xdr:row>184</xdr:row>
      <xdr:rowOff>273599</xdr:rowOff>
    </xdr:to>
    <xdr:pic>
      <xdr:nvPicPr>
        <xdr:cNvPr id="46" name="image304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185</xdr:row>
      <xdr:rowOff>7600</xdr:rowOff>
    </xdr:from>
    <xdr:to>
      <xdr:col>2</xdr:col>
      <xdr:colOff>969000</xdr:colOff>
      <xdr:row>187</xdr:row>
      <xdr:rowOff>374933</xdr:rowOff>
    </xdr:to>
    <xdr:pic>
      <xdr:nvPicPr>
        <xdr:cNvPr id="47" name="image305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1147600</xdr:colOff>
      <xdr:row>193</xdr:row>
      <xdr:rowOff>159600</xdr:rowOff>
    </xdr:to>
    <xdr:pic>
      <xdr:nvPicPr>
        <xdr:cNvPr id="48" name="image306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1147600</xdr:colOff>
      <xdr:row>195</xdr:row>
      <xdr:rowOff>737200</xdr:rowOff>
    </xdr:to>
    <xdr:pic>
      <xdr:nvPicPr>
        <xdr:cNvPr id="49" name="image307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1147600</xdr:colOff>
      <xdr:row>196</xdr:row>
      <xdr:rowOff>995600</xdr:rowOff>
    </xdr:to>
    <xdr:pic>
      <xdr:nvPicPr>
        <xdr:cNvPr id="50" name="image308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1147600</xdr:colOff>
      <xdr:row>197</xdr:row>
      <xdr:rowOff>767600</xdr:rowOff>
    </xdr:to>
    <xdr:pic>
      <xdr:nvPicPr>
        <xdr:cNvPr id="51" name="image309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1147600</xdr:colOff>
      <xdr:row>200</xdr:row>
      <xdr:rowOff>288800</xdr:rowOff>
    </xdr:to>
    <xdr:pic>
      <xdr:nvPicPr>
        <xdr:cNvPr id="52" name="image310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201</xdr:row>
      <xdr:rowOff>7600</xdr:rowOff>
    </xdr:from>
    <xdr:to>
      <xdr:col>2</xdr:col>
      <xdr:colOff>995600</xdr:colOff>
      <xdr:row>203</xdr:row>
      <xdr:rowOff>374933</xdr:rowOff>
    </xdr:to>
    <xdr:pic>
      <xdr:nvPicPr>
        <xdr:cNvPr id="53" name="image311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102600</xdr:colOff>
      <xdr:row>3</xdr:row>
      <xdr:rowOff>7600</xdr:rowOff>
    </xdr:from>
    <xdr:to>
      <xdr:col>2</xdr:col>
      <xdr:colOff>1037400</xdr:colOff>
      <xdr:row>5</xdr:row>
      <xdr:rowOff>374933</xdr:rowOff>
    </xdr:to>
    <xdr:pic>
      <xdr:nvPicPr>
        <xdr:cNvPr id="1" name="image31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1147600</xdr:colOff>
      <xdr:row>6</xdr:row>
      <xdr:rowOff>760000</xdr:rowOff>
    </xdr:to>
    <xdr:pic>
      <xdr:nvPicPr>
        <xdr:cNvPr id="2" name="image313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1147600</xdr:colOff>
      <xdr:row>7</xdr:row>
      <xdr:rowOff>760000</xdr:rowOff>
    </xdr:to>
    <xdr:pic>
      <xdr:nvPicPr>
        <xdr:cNvPr id="3" name="image314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9</xdr:row>
      <xdr:rowOff>7600</xdr:rowOff>
    </xdr:from>
    <xdr:to>
      <xdr:col>2</xdr:col>
      <xdr:colOff>999400</xdr:colOff>
      <xdr:row>9</xdr:row>
      <xdr:rowOff>1147600</xdr:rowOff>
    </xdr:to>
    <xdr:pic>
      <xdr:nvPicPr>
        <xdr:cNvPr id="4" name="image315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1147600</xdr:colOff>
      <xdr:row>10</xdr:row>
      <xdr:rowOff>980400</xdr:rowOff>
    </xdr:to>
    <xdr:pic>
      <xdr:nvPicPr>
        <xdr:cNvPr id="5" name="image316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11</xdr:row>
      <xdr:rowOff>7600</xdr:rowOff>
    </xdr:from>
    <xdr:to>
      <xdr:col>2</xdr:col>
      <xdr:colOff>999400</xdr:colOff>
      <xdr:row>11</xdr:row>
      <xdr:rowOff>1147600</xdr:rowOff>
    </xdr:to>
    <xdr:pic>
      <xdr:nvPicPr>
        <xdr:cNvPr id="6" name="image317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1147600</xdr:colOff>
      <xdr:row>13</xdr:row>
      <xdr:rowOff>767600</xdr:rowOff>
    </xdr:to>
    <xdr:pic>
      <xdr:nvPicPr>
        <xdr:cNvPr id="7" name="image318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14</xdr:row>
      <xdr:rowOff>7600</xdr:rowOff>
    </xdr:from>
    <xdr:to>
      <xdr:col>2</xdr:col>
      <xdr:colOff>999400</xdr:colOff>
      <xdr:row>14</xdr:row>
      <xdr:rowOff>1147600</xdr:rowOff>
    </xdr:to>
    <xdr:pic>
      <xdr:nvPicPr>
        <xdr:cNvPr id="8" name="image319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1147600</xdr:colOff>
      <xdr:row>15</xdr:row>
      <xdr:rowOff>934800</xdr:rowOff>
    </xdr:to>
    <xdr:pic>
      <xdr:nvPicPr>
        <xdr:cNvPr id="9" name="image320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1147600</xdr:colOff>
      <xdr:row>17</xdr:row>
      <xdr:rowOff>382533</xdr:rowOff>
    </xdr:to>
    <xdr:pic>
      <xdr:nvPicPr>
        <xdr:cNvPr id="10" name="image321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1147600</xdr:colOff>
      <xdr:row>18</xdr:row>
      <xdr:rowOff>1003200</xdr:rowOff>
    </xdr:to>
    <xdr:pic>
      <xdr:nvPicPr>
        <xdr:cNvPr id="11" name="image322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1147600</xdr:colOff>
      <xdr:row>21</xdr:row>
      <xdr:rowOff>571266</xdr:rowOff>
    </xdr:to>
    <xdr:pic>
      <xdr:nvPicPr>
        <xdr:cNvPr id="12" name="image323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1147600</xdr:colOff>
      <xdr:row>22</xdr:row>
      <xdr:rowOff>813200</xdr:rowOff>
    </xdr:to>
    <xdr:pic>
      <xdr:nvPicPr>
        <xdr:cNvPr id="13" name="image32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23</xdr:row>
      <xdr:rowOff>798000</xdr:rowOff>
    </xdr:to>
    <xdr:pic>
      <xdr:nvPicPr>
        <xdr:cNvPr id="14" name="image32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1147600</xdr:colOff>
      <xdr:row>24</xdr:row>
      <xdr:rowOff>1147600</xdr:rowOff>
    </xdr:to>
    <xdr:pic>
      <xdr:nvPicPr>
        <xdr:cNvPr id="15" name="image326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25</xdr:row>
      <xdr:rowOff>7600</xdr:rowOff>
    </xdr:from>
    <xdr:to>
      <xdr:col>2</xdr:col>
      <xdr:colOff>999400</xdr:colOff>
      <xdr:row>25</xdr:row>
      <xdr:rowOff>1147600</xdr:rowOff>
    </xdr:to>
    <xdr:pic>
      <xdr:nvPicPr>
        <xdr:cNvPr id="16" name="image327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26</xdr:row>
      <xdr:rowOff>7600</xdr:rowOff>
    </xdr:from>
    <xdr:to>
      <xdr:col>2</xdr:col>
      <xdr:colOff>1010800</xdr:colOff>
      <xdr:row>26</xdr:row>
      <xdr:rowOff>1147600</xdr:rowOff>
    </xdr:to>
    <xdr:pic>
      <xdr:nvPicPr>
        <xdr:cNvPr id="17" name="image328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1147600</xdr:colOff>
      <xdr:row>27</xdr:row>
      <xdr:rowOff>980400</xdr:rowOff>
    </xdr:to>
    <xdr:pic>
      <xdr:nvPicPr>
        <xdr:cNvPr id="18" name="image32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1147600</xdr:colOff>
      <xdr:row>28</xdr:row>
      <xdr:rowOff>980400</xdr:rowOff>
    </xdr:to>
    <xdr:pic>
      <xdr:nvPicPr>
        <xdr:cNvPr id="19" name="image33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1147600</xdr:colOff>
      <xdr:row>29</xdr:row>
      <xdr:rowOff>866400</xdr:rowOff>
    </xdr:to>
    <xdr:pic>
      <xdr:nvPicPr>
        <xdr:cNvPr id="20" name="image331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1147600</xdr:colOff>
      <xdr:row>30</xdr:row>
      <xdr:rowOff>1147600</xdr:rowOff>
    </xdr:to>
    <xdr:pic>
      <xdr:nvPicPr>
        <xdr:cNvPr id="21" name="image332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1147600</xdr:colOff>
      <xdr:row>31</xdr:row>
      <xdr:rowOff>858800</xdr:rowOff>
    </xdr:to>
    <xdr:pic>
      <xdr:nvPicPr>
        <xdr:cNvPr id="22" name="image333.pn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1147600</xdr:colOff>
      <xdr:row>37</xdr:row>
      <xdr:rowOff>374933</xdr:rowOff>
    </xdr:to>
    <xdr:pic>
      <xdr:nvPicPr>
        <xdr:cNvPr id="23" name="image334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1147600</xdr:colOff>
      <xdr:row>39</xdr:row>
      <xdr:rowOff>729600</xdr:rowOff>
    </xdr:to>
    <xdr:pic>
      <xdr:nvPicPr>
        <xdr:cNvPr id="24" name="image335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1147600</xdr:colOff>
      <xdr:row>40</xdr:row>
      <xdr:rowOff>805600</xdr:rowOff>
    </xdr:to>
    <xdr:pic>
      <xdr:nvPicPr>
        <xdr:cNvPr id="25" name="image336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1147600</xdr:colOff>
      <xdr:row>41</xdr:row>
      <xdr:rowOff>729600</xdr:rowOff>
    </xdr:to>
    <xdr:pic>
      <xdr:nvPicPr>
        <xdr:cNvPr id="26" name="image337.pn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1147600</xdr:colOff>
      <xdr:row>42</xdr:row>
      <xdr:rowOff>1056400</xdr:rowOff>
    </xdr:to>
    <xdr:pic>
      <xdr:nvPicPr>
        <xdr:cNvPr id="27" name="image338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1147600</xdr:colOff>
      <xdr:row>43</xdr:row>
      <xdr:rowOff>843600</xdr:rowOff>
    </xdr:to>
    <xdr:pic>
      <xdr:nvPicPr>
        <xdr:cNvPr id="28" name="image339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1147600</xdr:colOff>
      <xdr:row>44</xdr:row>
      <xdr:rowOff>866400</xdr:rowOff>
    </xdr:to>
    <xdr:pic>
      <xdr:nvPicPr>
        <xdr:cNvPr id="29" name="image340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1147600</xdr:colOff>
      <xdr:row>45</xdr:row>
      <xdr:rowOff>562400</xdr:rowOff>
    </xdr:to>
    <xdr:pic>
      <xdr:nvPicPr>
        <xdr:cNvPr id="30" name="image341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1147600</xdr:colOff>
      <xdr:row>46</xdr:row>
      <xdr:rowOff>866400</xdr:rowOff>
    </xdr:to>
    <xdr:pic>
      <xdr:nvPicPr>
        <xdr:cNvPr id="31" name="image342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47</xdr:row>
      <xdr:rowOff>7600</xdr:rowOff>
    </xdr:from>
    <xdr:to>
      <xdr:col>2</xdr:col>
      <xdr:colOff>950000</xdr:colOff>
      <xdr:row>47</xdr:row>
      <xdr:rowOff>1147600</xdr:rowOff>
    </xdr:to>
    <xdr:pic>
      <xdr:nvPicPr>
        <xdr:cNvPr id="32" name="image343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1147600</xdr:colOff>
      <xdr:row>48</xdr:row>
      <xdr:rowOff>866400</xdr:rowOff>
    </xdr:to>
    <xdr:pic>
      <xdr:nvPicPr>
        <xdr:cNvPr id="33" name="image344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1147600</xdr:colOff>
      <xdr:row>49</xdr:row>
      <xdr:rowOff>1071600</xdr:rowOff>
    </xdr:to>
    <xdr:pic>
      <xdr:nvPicPr>
        <xdr:cNvPr id="34" name="image345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1147600</xdr:colOff>
      <xdr:row>52</xdr:row>
      <xdr:rowOff>255866</xdr:rowOff>
    </xdr:to>
    <xdr:pic>
      <xdr:nvPicPr>
        <xdr:cNvPr id="35" name="image346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1147600</xdr:colOff>
      <xdr:row>53</xdr:row>
      <xdr:rowOff>950000</xdr:rowOff>
    </xdr:to>
    <xdr:pic>
      <xdr:nvPicPr>
        <xdr:cNvPr id="36" name="image347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54</xdr:row>
      <xdr:rowOff>7600</xdr:rowOff>
    </xdr:from>
    <xdr:to>
      <xdr:col>2</xdr:col>
      <xdr:colOff>950000</xdr:colOff>
      <xdr:row>57</xdr:row>
      <xdr:rowOff>273599</xdr:rowOff>
    </xdr:to>
    <xdr:pic>
      <xdr:nvPicPr>
        <xdr:cNvPr id="37" name="image348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1147600</xdr:colOff>
      <xdr:row>60</xdr:row>
      <xdr:rowOff>866400</xdr:rowOff>
    </xdr:to>
    <xdr:pic>
      <xdr:nvPicPr>
        <xdr:cNvPr id="38" name="image349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1147600</xdr:colOff>
      <xdr:row>61</xdr:row>
      <xdr:rowOff>775200</xdr:rowOff>
    </xdr:to>
    <xdr:pic>
      <xdr:nvPicPr>
        <xdr:cNvPr id="39" name="image350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62</xdr:row>
      <xdr:rowOff>7600</xdr:rowOff>
    </xdr:from>
    <xdr:to>
      <xdr:col>2</xdr:col>
      <xdr:colOff>950000</xdr:colOff>
      <xdr:row>62</xdr:row>
      <xdr:rowOff>1147600</xdr:rowOff>
    </xdr:to>
    <xdr:pic>
      <xdr:nvPicPr>
        <xdr:cNvPr id="40" name="image351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63</xdr:row>
      <xdr:rowOff>7600</xdr:rowOff>
    </xdr:from>
    <xdr:to>
      <xdr:col>2</xdr:col>
      <xdr:colOff>995600</xdr:colOff>
      <xdr:row>65</xdr:row>
      <xdr:rowOff>374933</xdr:rowOff>
    </xdr:to>
    <xdr:pic>
      <xdr:nvPicPr>
        <xdr:cNvPr id="41" name="image352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1147600</xdr:colOff>
      <xdr:row>66</xdr:row>
      <xdr:rowOff>1056400</xdr:rowOff>
    </xdr:to>
    <xdr:pic>
      <xdr:nvPicPr>
        <xdr:cNvPr id="42" name="image353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1147600</xdr:colOff>
      <xdr:row>67</xdr:row>
      <xdr:rowOff>775200</xdr:rowOff>
    </xdr:to>
    <xdr:pic>
      <xdr:nvPicPr>
        <xdr:cNvPr id="43" name="image354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68</xdr:row>
      <xdr:rowOff>7600</xdr:rowOff>
    </xdr:from>
    <xdr:to>
      <xdr:col>2</xdr:col>
      <xdr:colOff>1010800</xdr:colOff>
      <xdr:row>68</xdr:row>
      <xdr:rowOff>1147600</xdr:rowOff>
    </xdr:to>
    <xdr:pic>
      <xdr:nvPicPr>
        <xdr:cNvPr id="44" name="image355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69</xdr:row>
      <xdr:rowOff>7600</xdr:rowOff>
    </xdr:from>
    <xdr:to>
      <xdr:col>2</xdr:col>
      <xdr:colOff>950000</xdr:colOff>
      <xdr:row>69</xdr:row>
      <xdr:rowOff>1147600</xdr:rowOff>
    </xdr:to>
    <xdr:pic>
      <xdr:nvPicPr>
        <xdr:cNvPr id="45" name="image356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1147600</xdr:colOff>
      <xdr:row>70</xdr:row>
      <xdr:rowOff>760000</xdr:rowOff>
    </xdr:to>
    <xdr:pic>
      <xdr:nvPicPr>
        <xdr:cNvPr id="46" name="image357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1147600</xdr:colOff>
      <xdr:row>71</xdr:row>
      <xdr:rowOff>1147600</xdr:rowOff>
    </xdr:to>
    <xdr:pic>
      <xdr:nvPicPr>
        <xdr:cNvPr id="47" name="image358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72</xdr:row>
      <xdr:rowOff>7600</xdr:rowOff>
    </xdr:from>
    <xdr:to>
      <xdr:col>2</xdr:col>
      <xdr:colOff>950000</xdr:colOff>
      <xdr:row>72</xdr:row>
      <xdr:rowOff>1147600</xdr:rowOff>
    </xdr:to>
    <xdr:pic>
      <xdr:nvPicPr>
        <xdr:cNvPr id="48" name="image359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1147600</xdr:colOff>
      <xdr:row>73</xdr:row>
      <xdr:rowOff>1147600</xdr:rowOff>
    </xdr:to>
    <xdr:pic>
      <xdr:nvPicPr>
        <xdr:cNvPr id="49" name="image360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1147600</xdr:colOff>
      <xdr:row>74</xdr:row>
      <xdr:rowOff>767600</xdr:rowOff>
    </xdr:to>
    <xdr:pic>
      <xdr:nvPicPr>
        <xdr:cNvPr id="50" name="image361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1147600</xdr:colOff>
      <xdr:row>78</xdr:row>
      <xdr:rowOff>167200</xdr:rowOff>
    </xdr:to>
    <xdr:pic>
      <xdr:nvPicPr>
        <xdr:cNvPr id="51" name="image362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1147600</xdr:colOff>
      <xdr:row>89</xdr:row>
      <xdr:rowOff>159599</xdr:rowOff>
    </xdr:to>
    <xdr:pic>
      <xdr:nvPicPr>
        <xdr:cNvPr id="52" name="image363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1147600</xdr:colOff>
      <xdr:row>95</xdr:row>
      <xdr:rowOff>134266</xdr:rowOff>
    </xdr:to>
    <xdr:pic>
      <xdr:nvPicPr>
        <xdr:cNvPr id="53" name="image364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1147600</xdr:colOff>
      <xdr:row>97</xdr:row>
      <xdr:rowOff>381266</xdr:rowOff>
    </xdr:to>
    <xdr:pic>
      <xdr:nvPicPr>
        <xdr:cNvPr id="54" name="image365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98</xdr:row>
      <xdr:rowOff>7600</xdr:rowOff>
    </xdr:from>
    <xdr:to>
      <xdr:col>2</xdr:col>
      <xdr:colOff>1026000</xdr:colOff>
      <xdr:row>103</xdr:row>
      <xdr:rowOff>197600</xdr:rowOff>
    </xdr:to>
    <xdr:pic>
      <xdr:nvPicPr>
        <xdr:cNvPr id="55" name="image366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1147600</xdr:colOff>
      <xdr:row>105</xdr:row>
      <xdr:rowOff>866400</xdr:rowOff>
    </xdr:to>
    <xdr:pic>
      <xdr:nvPicPr>
        <xdr:cNvPr id="56" name="image367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1147600</xdr:colOff>
      <xdr:row>108</xdr:row>
      <xdr:rowOff>919600</xdr:rowOff>
    </xdr:to>
    <xdr:pic>
      <xdr:nvPicPr>
        <xdr:cNvPr id="57" name="image368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1147600</xdr:colOff>
      <xdr:row>110</xdr:row>
      <xdr:rowOff>524400</xdr:rowOff>
    </xdr:to>
    <xdr:pic>
      <xdr:nvPicPr>
        <xdr:cNvPr id="58" name="image369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1147600</xdr:colOff>
      <xdr:row>111</xdr:row>
      <xdr:rowOff>752400</xdr:rowOff>
    </xdr:to>
    <xdr:pic>
      <xdr:nvPicPr>
        <xdr:cNvPr id="59" name="image370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1147600</xdr:colOff>
      <xdr:row>113</xdr:row>
      <xdr:rowOff>866400</xdr:rowOff>
    </xdr:to>
    <xdr:pic>
      <xdr:nvPicPr>
        <xdr:cNvPr id="60" name="image371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1147600</xdr:colOff>
      <xdr:row>114</xdr:row>
      <xdr:rowOff>737200</xdr:rowOff>
    </xdr:to>
    <xdr:pic>
      <xdr:nvPicPr>
        <xdr:cNvPr id="61" name="image372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1147600</xdr:colOff>
      <xdr:row>115</xdr:row>
      <xdr:rowOff>866400</xdr:rowOff>
    </xdr:to>
    <xdr:pic>
      <xdr:nvPicPr>
        <xdr:cNvPr id="62" name="image373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1147600</xdr:colOff>
      <xdr:row>116</xdr:row>
      <xdr:rowOff>866400</xdr:rowOff>
    </xdr:to>
    <xdr:pic>
      <xdr:nvPicPr>
        <xdr:cNvPr id="63" name="image374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1147600</xdr:colOff>
      <xdr:row>117</xdr:row>
      <xdr:rowOff>1147600</xdr:rowOff>
    </xdr:to>
    <xdr:pic>
      <xdr:nvPicPr>
        <xdr:cNvPr id="64" name="image375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1147600</xdr:colOff>
      <xdr:row>119</xdr:row>
      <xdr:rowOff>1147600</xdr:rowOff>
    </xdr:to>
    <xdr:pic>
      <xdr:nvPicPr>
        <xdr:cNvPr id="65" name="image376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1147600</xdr:colOff>
      <xdr:row>120</xdr:row>
      <xdr:rowOff>646000</xdr:rowOff>
    </xdr:to>
    <xdr:pic>
      <xdr:nvPicPr>
        <xdr:cNvPr id="66" name="image377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1147600</xdr:colOff>
      <xdr:row>121</xdr:row>
      <xdr:rowOff>1094400</xdr:rowOff>
    </xdr:to>
    <xdr:pic>
      <xdr:nvPicPr>
        <xdr:cNvPr id="67" name="image378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1147600</xdr:colOff>
      <xdr:row>122</xdr:row>
      <xdr:rowOff>1147600</xdr:rowOff>
    </xdr:to>
    <xdr:pic>
      <xdr:nvPicPr>
        <xdr:cNvPr id="68" name="image379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1147600</xdr:colOff>
      <xdr:row>123</xdr:row>
      <xdr:rowOff>1147600</xdr:rowOff>
    </xdr:to>
    <xdr:pic>
      <xdr:nvPicPr>
        <xdr:cNvPr id="69" name="image380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1147600</xdr:colOff>
      <xdr:row>124</xdr:row>
      <xdr:rowOff>760000</xdr:rowOff>
    </xdr:to>
    <xdr:pic>
      <xdr:nvPicPr>
        <xdr:cNvPr id="70" name="image381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1147600</xdr:colOff>
      <xdr:row>126</xdr:row>
      <xdr:rowOff>1147600</xdr:rowOff>
    </xdr:to>
    <xdr:pic>
      <xdr:nvPicPr>
        <xdr:cNvPr id="71" name="image382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127</xdr:row>
      <xdr:rowOff>7600</xdr:rowOff>
    </xdr:from>
    <xdr:to>
      <xdr:col>2</xdr:col>
      <xdr:colOff>995600</xdr:colOff>
      <xdr:row>127</xdr:row>
      <xdr:rowOff>1147600</xdr:rowOff>
    </xdr:to>
    <xdr:pic>
      <xdr:nvPicPr>
        <xdr:cNvPr id="72" name="image383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1147600</xdr:colOff>
      <xdr:row>129</xdr:row>
      <xdr:rowOff>767600</xdr:rowOff>
    </xdr:to>
    <xdr:pic>
      <xdr:nvPicPr>
        <xdr:cNvPr id="73" name="image384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1147600</xdr:colOff>
      <xdr:row>130</xdr:row>
      <xdr:rowOff>858800</xdr:rowOff>
    </xdr:to>
    <xdr:pic>
      <xdr:nvPicPr>
        <xdr:cNvPr id="74" name="image385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163400</xdr:colOff>
      <xdr:row>131</xdr:row>
      <xdr:rowOff>7600</xdr:rowOff>
    </xdr:from>
    <xdr:to>
      <xdr:col>2</xdr:col>
      <xdr:colOff>976600</xdr:colOff>
      <xdr:row>131</xdr:row>
      <xdr:rowOff>1147600</xdr:rowOff>
    </xdr:to>
    <xdr:pic>
      <xdr:nvPicPr>
        <xdr:cNvPr id="75" name="image386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1147600</xdr:colOff>
      <xdr:row>132</xdr:row>
      <xdr:rowOff>1147600</xdr:rowOff>
    </xdr:to>
    <xdr:pic>
      <xdr:nvPicPr>
        <xdr:cNvPr id="76" name="image387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1147600</xdr:colOff>
      <xdr:row>135</xdr:row>
      <xdr:rowOff>881600</xdr:rowOff>
    </xdr:to>
    <xdr:pic>
      <xdr:nvPicPr>
        <xdr:cNvPr id="77" name="image388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1147600</xdr:colOff>
      <xdr:row>136</xdr:row>
      <xdr:rowOff>1147600</xdr:rowOff>
    </xdr:to>
    <xdr:pic>
      <xdr:nvPicPr>
        <xdr:cNvPr id="78" name="image389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1147600</xdr:colOff>
      <xdr:row>137</xdr:row>
      <xdr:rowOff>767600</xdr:rowOff>
    </xdr:to>
    <xdr:pic>
      <xdr:nvPicPr>
        <xdr:cNvPr id="79" name="image390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1147600</xdr:colOff>
      <xdr:row>138</xdr:row>
      <xdr:rowOff>851200</xdr:rowOff>
    </xdr:to>
    <xdr:pic>
      <xdr:nvPicPr>
        <xdr:cNvPr id="80" name="image391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1147600</xdr:colOff>
      <xdr:row>139</xdr:row>
      <xdr:rowOff>668800</xdr:rowOff>
    </xdr:to>
    <xdr:pic>
      <xdr:nvPicPr>
        <xdr:cNvPr id="81" name="image392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1147600</xdr:colOff>
      <xdr:row>140</xdr:row>
      <xdr:rowOff>843600</xdr:rowOff>
    </xdr:to>
    <xdr:pic>
      <xdr:nvPicPr>
        <xdr:cNvPr id="82" name="image393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1140000</xdr:colOff>
      <xdr:row>141</xdr:row>
      <xdr:rowOff>1147600</xdr:rowOff>
    </xdr:to>
    <xdr:pic>
      <xdr:nvPicPr>
        <xdr:cNvPr id="83" name="image394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1147600</xdr:colOff>
      <xdr:row>142</xdr:row>
      <xdr:rowOff>866400</xdr:rowOff>
    </xdr:to>
    <xdr:pic>
      <xdr:nvPicPr>
        <xdr:cNvPr id="84" name="image395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1147600</xdr:colOff>
      <xdr:row>143</xdr:row>
      <xdr:rowOff>919600</xdr:rowOff>
    </xdr:to>
    <xdr:pic>
      <xdr:nvPicPr>
        <xdr:cNvPr id="85" name="image396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1147600</xdr:colOff>
      <xdr:row>144</xdr:row>
      <xdr:rowOff>1147600</xdr:rowOff>
    </xdr:to>
    <xdr:pic>
      <xdr:nvPicPr>
        <xdr:cNvPr id="86" name="image397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145</xdr:row>
      <xdr:rowOff>7600</xdr:rowOff>
    </xdr:from>
    <xdr:to>
      <xdr:col>2</xdr:col>
      <xdr:colOff>999400</xdr:colOff>
      <xdr:row>145</xdr:row>
      <xdr:rowOff>1147600</xdr:rowOff>
    </xdr:to>
    <xdr:pic>
      <xdr:nvPicPr>
        <xdr:cNvPr id="87" name="image398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1147600</xdr:colOff>
      <xdr:row>146</xdr:row>
      <xdr:rowOff>851200</xdr:rowOff>
    </xdr:to>
    <xdr:pic>
      <xdr:nvPicPr>
        <xdr:cNvPr id="88" name="image399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1147600</xdr:colOff>
      <xdr:row>147</xdr:row>
      <xdr:rowOff>767600</xdr:rowOff>
    </xdr:to>
    <xdr:pic>
      <xdr:nvPicPr>
        <xdr:cNvPr id="89" name="image400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1147600</xdr:colOff>
      <xdr:row>148</xdr:row>
      <xdr:rowOff>1147600</xdr:rowOff>
    </xdr:to>
    <xdr:pic>
      <xdr:nvPicPr>
        <xdr:cNvPr id="90" name="image401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1147600</xdr:colOff>
      <xdr:row>149</xdr:row>
      <xdr:rowOff>767600</xdr:rowOff>
    </xdr:to>
    <xdr:pic>
      <xdr:nvPicPr>
        <xdr:cNvPr id="91" name="image402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1147600</xdr:colOff>
      <xdr:row>150</xdr:row>
      <xdr:rowOff>1147600</xdr:rowOff>
    </xdr:to>
    <xdr:pic>
      <xdr:nvPicPr>
        <xdr:cNvPr id="92" name="image403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1140000</xdr:colOff>
      <xdr:row>151</xdr:row>
      <xdr:rowOff>1147600</xdr:rowOff>
    </xdr:to>
    <xdr:pic>
      <xdr:nvPicPr>
        <xdr:cNvPr id="93" name="image404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1147600</xdr:colOff>
      <xdr:row>152</xdr:row>
      <xdr:rowOff>965200</xdr:rowOff>
    </xdr:to>
    <xdr:pic>
      <xdr:nvPicPr>
        <xdr:cNvPr id="94" name="image405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1147600</xdr:colOff>
      <xdr:row>153</xdr:row>
      <xdr:rowOff>737200</xdr:rowOff>
    </xdr:to>
    <xdr:pic>
      <xdr:nvPicPr>
        <xdr:cNvPr id="95" name="image406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1147600</xdr:colOff>
      <xdr:row>155</xdr:row>
      <xdr:rowOff>843600</xdr:rowOff>
    </xdr:to>
    <xdr:pic>
      <xdr:nvPicPr>
        <xdr:cNvPr id="96" name="image407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1147600</xdr:colOff>
      <xdr:row>156</xdr:row>
      <xdr:rowOff>1147600</xdr:rowOff>
    </xdr:to>
    <xdr:pic>
      <xdr:nvPicPr>
        <xdr:cNvPr id="97" name="image408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1140000</xdr:colOff>
      <xdr:row>157</xdr:row>
      <xdr:rowOff>1147600</xdr:rowOff>
    </xdr:to>
    <xdr:pic>
      <xdr:nvPicPr>
        <xdr:cNvPr id="98" name="image409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1147600</xdr:colOff>
      <xdr:row>158</xdr:row>
      <xdr:rowOff>965200</xdr:rowOff>
    </xdr:to>
    <xdr:pic>
      <xdr:nvPicPr>
        <xdr:cNvPr id="99" name="image410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1147600</xdr:colOff>
      <xdr:row>160</xdr:row>
      <xdr:rowOff>767600</xdr:rowOff>
    </xdr:to>
    <xdr:pic>
      <xdr:nvPicPr>
        <xdr:cNvPr id="100" name="image411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1147600</xdr:colOff>
      <xdr:row>161</xdr:row>
      <xdr:rowOff>866400</xdr:rowOff>
    </xdr:to>
    <xdr:pic>
      <xdr:nvPicPr>
        <xdr:cNvPr id="101" name="image412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1147600</xdr:colOff>
      <xdr:row>162</xdr:row>
      <xdr:rowOff>1147600</xdr:rowOff>
    </xdr:to>
    <xdr:pic>
      <xdr:nvPicPr>
        <xdr:cNvPr id="102" name="image413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1147600</xdr:colOff>
      <xdr:row>163</xdr:row>
      <xdr:rowOff>737200</xdr:rowOff>
    </xdr:to>
    <xdr:pic>
      <xdr:nvPicPr>
        <xdr:cNvPr id="103" name="image414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1147600</xdr:colOff>
      <xdr:row>165</xdr:row>
      <xdr:rowOff>919600</xdr:rowOff>
    </xdr:to>
    <xdr:pic>
      <xdr:nvPicPr>
        <xdr:cNvPr id="104" name="image415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1147600</xdr:colOff>
      <xdr:row>166</xdr:row>
      <xdr:rowOff>851200</xdr:rowOff>
    </xdr:to>
    <xdr:pic>
      <xdr:nvPicPr>
        <xdr:cNvPr id="105" name="image416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1147600</xdr:colOff>
      <xdr:row>167</xdr:row>
      <xdr:rowOff>1147600</xdr:rowOff>
    </xdr:to>
    <xdr:pic>
      <xdr:nvPicPr>
        <xdr:cNvPr id="106" name="image417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1147600</xdr:colOff>
      <xdr:row>169</xdr:row>
      <xdr:rowOff>881600</xdr:rowOff>
    </xdr:to>
    <xdr:pic>
      <xdr:nvPicPr>
        <xdr:cNvPr id="107" name="image418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1147600</xdr:colOff>
      <xdr:row>170</xdr:row>
      <xdr:rowOff>1147600</xdr:rowOff>
    </xdr:to>
    <xdr:pic>
      <xdr:nvPicPr>
        <xdr:cNvPr id="108" name="image419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1147600</xdr:colOff>
      <xdr:row>171</xdr:row>
      <xdr:rowOff>851200</xdr:rowOff>
    </xdr:to>
    <xdr:pic>
      <xdr:nvPicPr>
        <xdr:cNvPr id="109" name="image420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1147600</xdr:colOff>
      <xdr:row>172</xdr:row>
      <xdr:rowOff>668800</xdr:rowOff>
    </xdr:to>
    <xdr:pic>
      <xdr:nvPicPr>
        <xdr:cNvPr id="110" name="image421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1140000</xdr:colOff>
      <xdr:row>173</xdr:row>
      <xdr:rowOff>1147600</xdr:rowOff>
    </xdr:to>
    <xdr:pic>
      <xdr:nvPicPr>
        <xdr:cNvPr id="111" name="image422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174</xdr:row>
      <xdr:rowOff>7600</xdr:rowOff>
    </xdr:from>
    <xdr:to>
      <xdr:col>2</xdr:col>
      <xdr:colOff>999400</xdr:colOff>
      <xdr:row>174</xdr:row>
      <xdr:rowOff>1147600</xdr:rowOff>
    </xdr:to>
    <xdr:pic>
      <xdr:nvPicPr>
        <xdr:cNvPr id="112" name="image423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1147600</xdr:colOff>
      <xdr:row>175</xdr:row>
      <xdr:rowOff>767600</xdr:rowOff>
    </xdr:to>
    <xdr:pic>
      <xdr:nvPicPr>
        <xdr:cNvPr id="113" name="image424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1147600</xdr:colOff>
      <xdr:row>176</xdr:row>
      <xdr:rowOff>767600</xdr:rowOff>
    </xdr:to>
    <xdr:pic>
      <xdr:nvPicPr>
        <xdr:cNvPr id="114" name="image425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102600</xdr:colOff>
      <xdr:row>178</xdr:row>
      <xdr:rowOff>7600</xdr:rowOff>
    </xdr:from>
    <xdr:to>
      <xdr:col>2</xdr:col>
      <xdr:colOff>1037400</xdr:colOff>
      <xdr:row>178</xdr:row>
      <xdr:rowOff>1147600</xdr:rowOff>
    </xdr:to>
    <xdr:pic>
      <xdr:nvPicPr>
        <xdr:cNvPr id="115" name="image426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1147600</xdr:colOff>
      <xdr:row>179</xdr:row>
      <xdr:rowOff>653600</xdr:rowOff>
    </xdr:to>
    <xdr:pic>
      <xdr:nvPicPr>
        <xdr:cNvPr id="116" name="image427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180</xdr:row>
      <xdr:rowOff>7600</xdr:rowOff>
    </xdr:from>
    <xdr:to>
      <xdr:col>2</xdr:col>
      <xdr:colOff>995600</xdr:colOff>
      <xdr:row>180</xdr:row>
      <xdr:rowOff>1147600</xdr:rowOff>
    </xdr:to>
    <xdr:pic>
      <xdr:nvPicPr>
        <xdr:cNvPr id="117" name="image428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1147600</xdr:colOff>
      <xdr:row>181</xdr:row>
      <xdr:rowOff>1147600</xdr:rowOff>
    </xdr:to>
    <xdr:pic>
      <xdr:nvPicPr>
        <xdr:cNvPr id="118" name="image429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1147600</xdr:colOff>
      <xdr:row>182</xdr:row>
      <xdr:rowOff>767600</xdr:rowOff>
    </xdr:to>
    <xdr:pic>
      <xdr:nvPicPr>
        <xdr:cNvPr id="119" name="image430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1147600</xdr:colOff>
      <xdr:row>183</xdr:row>
      <xdr:rowOff>866400</xdr:rowOff>
    </xdr:to>
    <xdr:pic>
      <xdr:nvPicPr>
        <xdr:cNvPr id="120" name="image431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1147600</xdr:colOff>
      <xdr:row>184</xdr:row>
      <xdr:rowOff>790400</xdr:rowOff>
    </xdr:to>
    <xdr:pic>
      <xdr:nvPicPr>
        <xdr:cNvPr id="121" name="image432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185</xdr:row>
      <xdr:rowOff>7600</xdr:rowOff>
    </xdr:from>
    <xdr:to>
      <xdr:col>2</xdr:col>
      <xdr:colOff>995600</xdr:colOff>
      <xdr:row>185</xdr:row>
      <xdr:rowOff>1147600</xdr:rowOff>
    </xdr:to>
    <xdr:pic>
      <xdr:nvPicPr>
        <xdr:cNvPr id="122" name="image433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1147600</xdr:colOff>
      <xdr:row>189</xdr:row>
      <xdr:rowOff>1147600</xdr:rowOff>
    </xdr:to>
    <xdr:pic>
      <xdr:nvPicPr>
        <xdr:cNvPr id="123" name="image434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1147600</xdr:colOff>
      <xdr:row>190</xdr:row>
      <xdr:rowOff>1147600</xdr:rowOff>
    </xdr:to>
    <xdr:pic>
      <xdr:nvPicPr>
        <xdr:cNvPr id="124" name="image435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191</xdr:row>
      <xdr:rowOff>7600</xdr:rowOff>
    </xdr:from>
    <xdr:to>
      <xdr:col>2</xdr:col>
      <xdr:colOff>995600</xdr:colOff>
      <xdr:row>191</xdr:row>
      <xdr:rowOff>1147600</xdr:rowOff>
    </xdr:to>
    <xdr:pic>
      <xdr:nvPicPr>
        <xdr:cNvPr id="125" name="image436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1147600</xdr:colOff>
      <xdr:row>192</xdr:row>
      <xdr:rowOff>858800</xdr:rowOff>
    </xdr:to>
    <xdr:pic>
      <xdr:nvPicPr>
        <xdr:cNvPr id="126" name="image437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1147600</xdr:colOff>
      <xdr:row>193</xdr:row>
      <xdr:rowOff>843600</xdr:rowOff>
    </xdr:to>
    <xdr:pic>
      <xdr:nvPicPr>
        <xdr:cNvPr id="127" name="image438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1147600</xdr:colOff>
      <xdr:row>194</xdr:row>
      <xdr:rowOff>858800</xdr:rowOff>
    </xdr:to>
    <xdr:pic>
      <xdr:nvPicPr>
        <xdr:cNvPr id="128" name="image439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1147600</xdr:colOff>
      <xdr:row>195</xdr:row>
      <xdr:rowOff>851200</xdr:rowOff>
    </xdr:to>
    <xdr:pic>
      <xdr:nvPicPr>
        <xdr:cNvPr id="129" name="image440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196</xdr:row>
      <xdr:rowOff>7600</xdr:rowOff>
    </xdr:from>
    <xdr:to>
      <xdr:col>2</xdr:col>
      <xdr:colOff>995600</xdr:colOff>
      <xdr:row>196</xdr:row>
      <xdr:rowOff>1147600</xdr:rowOff>
    </xdr:to>
    <xdr:pic>
      <xdr:nvPicPr>
        <xdr:cNvPr id="130" name="image441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1147600</xdr:colOff>
      <xdr:row>197</xdr:row>
      <xdr:rowOff>782800</xdr:rowOff>
    </xdr:to>
    <xdr:pic>
      <xdr:nvPicPr>
        <xdr:cNvPr id="131" name="image442.pn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1147600</xdr:colOff>
      <xdr:row>198</xdr:row>
      <xdr:rowOff>767600</xdr:rowOff>
    </xdr:to>
    <xdr:pic>
      <xdr:nvPicPr>
        <xdr:cNvPr id="132" name="image443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1147600</xdr:colOff>
      <xdr:row>199</xdr:row>
      <xdr:rowOff>1147600</xdr:rowOff>
    </xdr:to>
    <xdr:pic>
      <xdr:nvPicPr>
        <xdr:cNvPr id="133" name="image444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1147600</xdr:colOff>
      <xdr:row>200</xdr:row>
      <xdr:rowOff>1147600</xdr:rowOff>
    </xdr:to>
    <xdr:pic>
      <xdr:nvPicPr>
        <xdr:cNvPr id="134" name="image445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201</xdr:row>
      <xdr:rowOff>7600</xdr:rowOff>
    </xdr:from>
    <xdr:to>
      <xdr:col>2</xdr:col>
      <xdr:colOff>999400</xdr:colOff>
      <xdr:row>201</xdr:row>
      <xdr:rowOff>1147600</xdr:rowOff>
    </xdr:to>
    <xdr:pic>
      <xdr:nvPicPr>
        <xdr:cNvPr id="135" name="image446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1147600</xdr:colOff>
      <xdr:row>202</xdr:row>
      <xdr:rowOff>866400</xdr:rowOff>
    </xdr:to>
    <xdr:pic>
      <xdr:nvPicPr>
        <xdr:cNvPr id="136" name="image447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203</xdr:row>
      <xdr:rowOff>7600</xdr:rowOff>
    </xdr:from>
    <xdr:to>
      <xdr:col>2</xdr:col>
      <xdr:colOff>1010800</xdr:colOff>
      <xdr:row>203</xdr:row>
      <xdr:rowOff>1147600</xdr:rowOff>
    </xdr:to>
    <xdr:pic>
      <xdr:nvPicPr>
        <xdr:cNvPr id="137" name="image448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1147600</xdr:colOff>
      <xdr:row>204</xdr:row>
      <xdr:rowOff>1147600</xdr:rowOff>
    </xdr:to>
    <xdr:pic>
      <xdr:nvPicPr>
        <xdr:cNvPr id="138" name="image449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1147600</xdr:colOff>
      <xdr:row>205</xdr:row>
      <xdr:rowOff>858800</xdr:rowOff>
    </xdr:to>
    <xdr:pic>
      <xdr:nvPicPr>
        <xdr:cNvPr id="139" name="image450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1147600</xdr:colOff>
      <xdr:row>206</xdr:row>
      <xdr:rowOff>600400</xdr:rowOff>
    </xdr:to>
    <xdr:pic>
      <xdr:nvPicPr>
        <xdr:cNvPr id="140" name="image451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207</xdr:row>
      <xdr:rowOff>7600</xdr:rowOff>
    </xdr:from>
    <xdr:to>
      <xdr:col>2</xdr:col>
      <xdr:colOff>995600</xdr:colOff>
      <xdr:row>207</xdr:row>
      <xdr:rowOff>1147600</xdr:rowOff>
    </xdr:to>
    <xdr:pic>
      <xdr:nvPicPr>
        <xdr:cNvPr id="141" name="image452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210</xdr:row>
      <xdr:rowOff>7600</xdr:rowOff>
    </xdr:from>
    <xdr:to>
      <xdr:col>2</xdr:col>
      <xdr:colOff>1010800</xdr:colOff>
      <xdr:row>210</xdr:row>
      <xdr:rowOff>1147600</xdr:rowOff>
    </xdr:to>
    <xdr:pic>
      <xdr:nvPicPr>
        <xdr:cNvPr id="142" name="image453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1147600</xdr:colOff>
      <xdr:row>211</xdr:row>
      <xdr:rowOff>919600</xdr:rowOff>
    </xdr:to>
    <xdr:pic>
      <xdr:nvPicPr>
        <xdr:cNvPr id="143" name="image454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1147600</xdr:colOff>
      <xdr:row>212</xdr:row>
      <xdr:rowOff>874000</xdr:rowOff>
    </xdr:to>
    <xdr:pic>
      <xdr:nvPicPr>
        <xdr:cNvPr id="144" name="image455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213</xdr:row>
      <xdr:rowOff>7600</xdr:rowOff>
    </xdr:from>
    <xdr:to>
      <xdr:col>2</xdr:col>
      <xdr:colOff>995600</xdr:colOff>
      <xdr:row>213</xdr:row>
      <xdr:rowOff>1147600</xdr:rowOff>
    </xdr:to>
    <xdr:pic>
      <xdr:nvPicPr>
        <xdr:cNvPr id="145" name="image456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214</xdr:row>
      <xdr:rowOff>7600</xdr:rowOff>
    </xdr:from>
    <xdr:to>
      <xdr:col>2</xdr:col>
      <xdr:colOff>950000</xdr:colOff>
      <xdr:row>214</xdr:row>
      <xdr:rowOff>1147600</xdr:rowOff>
    </xdr:to>
    <xdr:pic>
      <xdr:nvPicPr>
        <xdr:cNvPr id="146" name="image457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1147600</xdr:colOff>
      <xdr:row>215</xdr:row>
      <xdr:rowOff>934800</xdr:rowOff>
    </xdr:to>
    <xdr:pic>
      <xdr:nvPicPr>
        <xdr:cNvPr id="147" name="image458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1147600</xdr:colOff>
      <xdr:row>216</xdr:row>
      <xdr:rowOff>1147600</xdr:rowOff>
    </xdr:to>
    <xdr:pic>
      <xdr:nvPicPr>
        <xdr:cNvPr id="148" name="image459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217</xdr:row>
      <xdr:rowOff>7600</xdr:rowOff>
    </xdr:from>
    <xdr:to>
      <xdr:col>2</xdr:col>
      <xdr:colOff>950000</xdr:colOff>
      <xdr:row>217</xdr:row>
      <xdr:rowOff>1147600</xdr:rowOff>
    </xdr:to>
    <xdr:pic>
      <xdr:nvPicPr>
        <xdr:cNvPr id="149" name="image460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1147600</xdr:colOff>
      <xdr:row>218</xdr:row>
      <xdr:rowOff>744800</xdr:rowOff>
    </xdr:to>
    <xdr:pic>
      <xdr:nvPicPr>
        <xdr:cNvPr id="150" name="image461.pn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1147600</xdr:colOff>
      <xdr:row>219</xdr:row>
      <xdr:rowOff>1147600</xdr:rowOff>
    </xdr:to>
    <xdr:pic>
      <xdr:nvPicPr>
        <xdr:cNvPr id="151" name="image462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1147600</xdr:colOff>
      <xdr:row>220</xdr:row>
      <xdr:rowOff>1147600</xdr:rowOff>
    </xdr:to>
    <xdr:pic>
      <xdr:nvPicPr>
        <xdr:cNvPr id="152" name="image463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221</xdr:row>
      <xdr:rowOff>7600</xdr:rowOff>
    </xdr:from>
    <xdr:to>
      <xdr:col>2</xdr:col>
      <xdr:colOff>995600</xdr:colOff>
      <xdr:row>221</xdr:row>
      <xdr:rowOff>1147600</xdr:rowOff>
    </xdr:to>
    <xdr:pic>
      <xdr:nvPicPr>
        <xdr:cNvPr id="153" name="image464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1147600</xdr:colOff>
      <xdr:row>222</xdr:row>
      <xdr:rowOff>1147600</xdr:rowOff>
    </xdr:to>
    <xdr:pic>
      <xdr:nvPicPr>
        <xdr:cNvPr id="154" name="image465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223</xdr:row>
      <xdr:rowOff>7600</xdr:rowOff>
    </xdr:from>
    <xdr:to>
      <xdr:col>2</xdr:col>
      <xdr:colOff>950000</xdr:colOff>
      <xdr:row>223</xdr:row>
      <xdr:rowOff>1147600</xdr:rowOff>
    </xdr:to>
    <xdr:pic>
      <xdr:nvPicPr>
        <xdr:cNvPr id="155" name="image466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155800</xdr:colOff>
      <xdr:row>224</xdr:row>
      <xdr:rowOff>7600</xdr:rowOff>
    </xdr:from>
    <xdr:to>
      <xdr:col>2</xdr:col>
      <xdr:colOff>984200</xdr:colOff>
      <xdr:row>224</xdr:row>
      <xdr:rowOff>1147600</xdr:rowOff>
    </xdr:to>
    <xdr:pic>
      <xdr:nvPicPr>
        <xdr:cNvPr id="156" name="image467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1147600</xdr:colOff>
      <xdr:row>225</xdr:row>
      <xdr:rowOff>1147600</xdr:rowOff>
    </xdr:to>
    <xdr:pic>
      <xdr:nvPicPr>
        <xdr:cNvPr id="157" name="image468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1147600</xdr:colOff>
      <xdr:row>226</xdr:row>
      <xdr:rowOff>858800</xdr:rowOff>
    </xdr:to>
    <xdr:pic>
      <xdr:nvPicPr>
        <xdr:cNvPr id="158" name="image469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1147600</xdr:colOff>
      <xdr:row>227</xdr:row>
      <xdr:rowOff>934800</xdr:rowOff>
    </xdr:to>
    <xdr:pic>
      <xdr:nvPicPr>
        <xdr:cNvPr id="159" name="image470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1147600</xdr:colOff>
      <xdr:row>228</xdr:row>
      <xdr:rowOff>668800</xdr:rowOff>
    </xdr:to>
    <xdr:pic>
      <xdr:nvPicPr>
        <xdr:cNvPr id="160" name="image471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1147600</xdr:colOff>
      <xdr:row>229</xdr:row>
      <xdr:rowOff>1147600</xdr:rowOff>
    </xdr:to>
    <xdr:pic>
      <xdr:nvPicPr>
        <xdr:cNvPr id="161" name="image472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1147600</xdr:colOff>
      <xdr:row>230</xdr:row>
      <xdr:rowOff>988000</xdr:rowOff>
    </xdr:to>
    <xdr:pic>
      <xdr:nvPicPr>
        <xdr:cNvPr id="162" name="image473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41800</xdr:colOff>
      <xdr:row>231</xdr:row>
      <xdr:rowOff>7600</xdr:rowOff>
    </xdr:from>
    <xdr:to>
      <xdr:col>2</xdr:col>
      <xdr:colOff>1098200</xdr:colOff>
      <xdr:row>231</xdr:row>
      <xdr:rowOff>1147600</xdr:rowOff>
    </xdr:to>
    <xdr:pic>
      <xdr:nvPicPr>
        <xdr:cNvPr id="163" name="image474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232</xdr:row>
      <xdr:rowOff>7600</xdr:rowOff>
    </xdr:from>
    <xdr:to>
      <xdr:col>2</xdr:col>
      <xdr:colOff>995600</xdr:colOff>
      <xdr:row>232</xdr:row>
      <xdr:rowOff>1147600</xdr:rowOff>
    </xdr:to>
    <xdr:pic>
      <xdr:nvPicPr>
        <xdr:cNvPr id="164" name="image475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1147600</xdr:colOff>
      <xdr:row>233</xdr:row>
      <xdr:rowOff>1147600</xdr:rowOff>
    </xdr:to>
    <xdr:pic>
      <xdr:nvPicPr>
        <xdr:cNvPr id="165" name="image476.pn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15200</xdr:colOff>
      <xdr:row>234</xdr:row>
      <xdr:rowOff>7600</xdr:rowOff>
    </xdr:from>
    <xdr:to>
      <xdr:col>2</xdr:col>
      <xdr:colOff>1124800</xdr:colOff>
      <xdr:row>234</xdr:row>
      <xdr:rowOff>1147600</xdr:rowOff>
    </xdr:to>
    <xdr:pic>
      <xdr:nvPicPr>
        <xdr:cNvPr id="166" name="image477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1147600</xdr:colOff>
      <xdr:row>235</xdr:row>
      <xdr:rowOff>866400</xdr:rowOff>
    </xdr:to>
    <xdr:pic>
      <xdr:nvPicPr>
        <xdr:cNvPr id="167" name="image478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1147600</xdr:colOff>
      <xdr:row>236</xdr:row>
      <xdr:rowOff>1147600</xdr:rowOff>
    </xdr:to>
    <xdr:pic>
      <xdr:nvPicPr>
        <xdr:cNvPr id="168" name="image479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1147600</xdr:colOff>
      <xdr:row>237</xdr:row>
      <xdr:rowOff>1147600</xdr:rowOff>
    </xdr:to>
    <xdr:pic>
      <xdr:nvPicPr>
        <xdr:cNvPr id="169" name="image480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1147600</xdr:colOff>
      <xdr:row>238</xdr:row>
      <xdr:rowOff>866400</xdr:rowOff>
    </xdr:to>
    <xdr:pic>
      <xdr:nvPicPr>
        <xdr:cNvPr id="170" name="image481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1147600</xdr:colOff>
      <xdr:row>239</xdr:row>
      <xdr:rowOff>1018400</xdr:rowOff>
    </xdr:to>
    <xdr:pic>
      <xdr:nvPicPr>
        <xdr:cNvPr id="171" name="image482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1147600</xdr:colOff>
      <xdr:row>240</xdr:row>
      <xdr:rowOff>874000</xdr:rowOff>
    </xdr:to>
    <xdr:pic>
      <xdr:nvPicPr>
        <xdr:cNvPr id="172" name="image483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241</xdr:row>
      <xdr:rowOff>7600</xdr:rowOff>
    </xdr:from>
    <xdr:to>
      <xdr:col>2</xdr:col>
      <xdr:colOff>995600</xdr:colOff>
      <xdr:row>241</xdr:row>
      <xdr:rowOff>1147600</xdr:rowOff>
    </xdr:to>
    <xdr:pic>
      <xdr:nvPicPr>
        <xdr:cNvPr id="173" name="image484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98800</xdr:colOff>
      <xdr:row>242</xdr:row>
      <xdr:rowOff>7600</xdr:rowOff>
    </xdr:from>
    <xdr:to>
      <xdr:col>2</xdr:col>
      <xdr:colOff>1041200</xdr:colOff>
      <xdr:row>242</xdr:row>
      <xdr:rowOff>1147600</xdr:rowOff>
    </xdr:to>
    <xdr:pic>
      <xdr:nvPicPr>
        <xdr:cNvPr id="174" name="image485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1147600</xdr:colOff>
      <xdr:row>243</xdr:row>
      <xdr:rowOff>1048800</xdr:rowOff>
    </xdr:to>
    <xdr:pic>
      <xdr:nvPicPr>
        <xdr:cNvPr id="175" name="image486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1147600</xdr:colOff>
      <xdr:row>244</xdr:row>
      <xdr:rowOff>775200</xdr:rowOff>
    </xdr:to>
    <xdr:pic>
      <xdr:nvPicPr>
        <xdr:cNvPr id="176" name="image487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1147600</xdr:colOff>
      <xdr:row>245</xdr:row>
      <xdr:rowOff>775200</xdr:rowOff>
    </xdr:to>
    <xdr:pic>
      <xdr:nvPicPr>
        <xdr:cNvPr id="177" name="image488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1147600</xdr:colOff>
      <xdr:row>246</xdr:row>
      <xdr:rowOff>767600</xdr:rowOff>
    </xdr:to>
    <xdr:pic>
      <xdr:nvPicPr>
        <xdr:cNvPr id="178" name="image489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1147600</xdr:colOff>
      <xdr:row>247</xdr:row>
      <xdr:rowOff>1147600</xdr:rowOff>
    </xdr:to>
    <xdr:pic>
      <xdr:nvPicPr>
        <xdr:cNvPr id="179" name="image490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1147600</xdr:colOff>
      <xdr:row>248</xdr:row>
      <xdr:rowOff>668800</xdr:rowOff>
    </xdr:to>
    <xdr:pic>
      <xdr:nvPicPr>
        <xdr:cNvPr id="180" name="image491.pn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1147600</xdr:colOff>
      <xdr:row>249</xdr:row>
      <xdr:rowOff>881600</xdr:rowOff>
    </xdr:to>
    <xdr:pic>
      <xdr:nvPicPr>
        <xdr:cNvPr id="181" name="image492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1147600</xdr:colOff>
      <xdr:row>250</xdr:row>
      <xdr:rowOff>790400</xdr:rowOff>
    </xdr:to>
    <xdr:pic>
      <xdr:nvPicPr>
        <xdr:cNvPr id="182" name="image493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1147600</xdr:colOff>
      <xdr:row>251</xdr:row>
      <xdr:rowOff>1079200</xdr:rowOff>
    </xdr:to>
    <xdr:pic>
      <xdr:nvPicPr>
        <xdr:cNvPr id="183" name="image494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1147600</xdr:colOff>
      <xdr:row>252</xdr:row>
      <xdr:rowOff>866400</xdr:rowOff>
    </xdr:to>
    <xdr:pic>
      <xdr:nvPicPr>
        <xdr:cNvPr id="184" name="image495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1147600</xdr:colOff>
      <xdr:row>253</xdr:row>
      <xdr:rowOff>866400</xdr:rowOff>
    </xdr:to>
    <xdr:pic>
      <xdr:nvPicPr>
        <xdr:cNvPr id="185" name="image496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1147600</xdr:colOff>
      <xdr:row>254</xdr:row>
      <xdr:rowOff>1147600</xdr:rowOff>
    </xdr:to>
    <xdr:pic>
      <xdr:nvPicPr>
        <xdr:cNvPr id="186" name="image497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1147600</xdr:colOff>
      <xdr:row>255</xdr:row>
      <xdr:rowOff>790400</xdr:rowOff>
    </xdr:to>
    <xdr:pic>
      <xdr:nvPicPr>
        <xdr:cNvPr id="187" name="image498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1147600</xdr:colOff>
      <xdr:row>256</xdr:row>
      <xdr:rowOff>775200</xdr:rowOff>
    </xdr:to>
    <xdr:pic>
      <xdr:nvPicPr>
        <xdr:cNvPr id="188" name="image499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1147600</xdr:colOff>
      <xdr:row>257</xdr:row>
      <xdr:rowOff>1147600</xdr:rowOff>
    </xdr:to>
    <xdr:pic>
      <xdr:nvPicPr>
        <xdr:cNvPr id="189" name="image500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1147600</xdr:colOff>
      <xdr:row>258</xdr:row>
      <xdr:rowOff>836000</xdr:rowOff>
    </xdr:to>
    <xdr:pic>
      <xdr:nvPicPr>
        <xdr:cNvPr id="190" name="image501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1147600</xdr:colOff>
      <xdr:row>259</xdr:row>
      <xdr:rowOff>775200</xdr:rowOff>
    </xdr:to>
    <xdr:pic>
      <xdr:nvPicPr>
        <xdr:cNvPr id="191" name="image502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1147600</xdr:colOff>
      <xdr:row>262</xdr:row>
      <xdr:rowOff>646000</xdr:rowOff>
    </xdr:to>
    <xdr:pic>
      <xdr:nvPicPr>
        <xdr:cNvPr id="192" name="image503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1147600</xdr:colOff>
      <xdr:row>263</xdr:row>
      <xdr:rowOff>722000</xdr:rowOff>
    </xdr:to>
    <xdr:pic>
      <xdr:nvPicPr>
        <xdr:cNvPr id="193" name="image504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264</xdr:row>
      <xdr:rowOff>7600</xdr:rowOff>
    </xdr:from>
    <xdr:to>
      <xdr:col>2</xdr:col>
      <xdr:colOff>999400</xdr:colOff>
      <xdr:row>264</xdr:row>
      <xdr:rowOff>1147600</xdr:rowOff>
    </xdr:to>
    <xdr:pic>
      <xdr:nvPicPr>
        <xdr:cNvPr id="194" name="image505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1147600</xdr:colOff>
      <xdr:row>265</xdr:row>
      <xdr:rowOff>722000</xdr:rowOff>
    </xdr:to>
    <xdr:pic>
      <xdr:nvPicPr>
        <xdr:cNvPr id="195" name="image506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267</xdr:row>
      <xdr:rowOff>7600</xdr:rowOff>
    </xdr:from>
    <xdr:to>
      <xdr:col>2</xdr:col>
      <xdr:colOff>995600</xdr:colOff>
      <xdr:row>267</xdr:row>
      <xdr:rowOff>1147600</xdr:rowOff>
    </xdr:to>
    <xdr:pic>
      <xdr:nvPicPr>
        <xdr:cNvPr id="196" name="image507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1147600</xdr:colOff>
      <xdr:row>268</xdr:row>
      <xdr:rowOff>1147600</xdr:rowOff>
    </xdr:to>
    <xdr:pic>
      <xdr:nvPicPr>
        <xdr:cNvPr id="197" name="image508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1147600</xdr:colOff>
      <xdr:row>270</xdr:row>
      <xdr:rowOff>381266</xdr:rowOff>
    </xdr:to>
    <xdr:pic>
      <xdr:nvPicPr>
        <xdr:cNvPr id="198" name="image509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1147600</xdr:colOff>
      <xdr:row>274</xdr:row>
      <xdr:rowOff>258399</xdr:rowOff>
    </xdr:to>
    <xdr:pic>
      <xdr:nvPicPr>
        <xdr:cNvPr id="199" name="image510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1147600</xdr:colOff>
      <xdr:row>275</xdr:row>
      <xdr:rowOff>995600</xdr:rowOff>
    </xdr:to>
    <xdr:pic>
      <xdr:nvPicPr>
        <xdr:cNvPr id="200" name="image511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1147600</xdr:colOff>
      <xdr:row>280</xdr:row>
      <xdr:rowOff>190000</xdr:rowOff>
    </xdr:to>
    <xdr:pic>
      <xdr:nvPicPr>
        <xdr:cNvPr id="201" name="image512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6</xdr:row>
      <xdr:rowOff>7600</xdr:rowOff>
    </xdr:from>
    <xdr:to>
      <xdr:col>2</xdr:col>
      <xdr:colOff>1147600</xdr:colOff>
      <xdr:row>6</xdr:row>
      <xdr:rowOff>1147600</xdr:rowOff>
    </xdr:to>
    <xdr:pic>
      <xdr:nvPicPr>
        <xdr:cNvPr id="1" name="image513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1147600</xdr:colOff>
      <xdr:row>12</xdr:row>
      <xdr:rowOff>571266</xdr:rowOff>
    </xdr:to>
    <xdr:pic>
      <xdr:nvPicPr>
        <xdr:cNvPr id="2" name="image514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1147600</xdr:colOff>
      <xdr:row>14</xdr:row>
      <xdr:rowOff>615600</xdr:rowOff>
    </xdr:to>
    <xdr:pic>
      <xdr:nvPicPr>
        <xdr:cNvPr id="3" name="image515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262200</xdr:colOff>
      <xdr:row>16</xdr:row>
      <xdr:rowOff>7600</xdr:rowOff>
    </xdr:from>
    <xdr:to>
      <xdr:col>2</xdr:col>
      <xdr:colOff>877800</xdr:colOff>
      <xdr:row>17</xdr:row>
      <xdr:rowOff>571266</xdr:rowOff>
    </xdr:to>
    <xdr:pic>
      <xdr:nvPicPr>
        <xdr:cNvPr id="4" name="image516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262200</xdr:colOff>
      <xdr:row>18</xdr:row>
      <xdr:rowOff>7600</xdr:rowOff>
    </xdr:from>
    <xdr:to>
      <xdr:col>2</xdr:col>
      <xdr:colOff>877800</xdr:colOff>
      <xdr:row>19</xdr:row>
      <xdr:rowOff>571266</xdr:rowOff>
    </xdr:to>
    <xdr:pic>
      <xdr:nvPicPr>
        <xdr:cNvPr id="5" name="image517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24</xdr:row>
      <xdr:rowOff>325533</xdr:rowOff>
    </xdr:to>
    <xdr:pic>
      <xdr:nvPicPr>
        <xdr:cNvPr id="6" name="image518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315400</xdr:colOff>
      <xdr:row>25</xdr:row>
      <xdr:rowOff>7600</xdr:rowOff>
    </xdr:from>
    <xdr:to>
      <xdr:col>2</xdr:col>
      <xdr:colOff>824600</xdr:colOff>
      <xdr:row>28</xdr:row>
      <xdr:rowOff>273599</xdr:rowOff>
    </xdr:to>
    <xdr:pic>
      <xdr:nvPicPr>
        <xdr:cNvPr id="7" name="image519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326800</xdr:colOff>
      <xdr:row>29</xdr:row>
      <xdr:rowOff>7600</xdr:rowOff>
    </xdr:from>
    <xdr:to>
      <xdr:col>2</xdr:col>
      <xdr:colOff>813200</xdr:colOff>
      <xdr:row>33</xdr:row>
      <xdr:rowOff>235600</xdr:rowOff>
    </xdr:to>
    <xdr:pic>
      <xdr:nvPicPr>
        <xdr:cNvPr id="8" name="image520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1147600</xdr:colOff>
      <xdr:row>37</xdr:row>
      <xdr:rowOff>152000</xdr:rowOff>
    </xdr:to>
    <xdr:pic>
      <xdr:nvPicPr>
        <xdr:cNvPr id="9" name="image521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1147600</xdr:colOff>
      <xdr:row>44</xdr:row>
      <xdr:rowOff>729600</xdr:rowOff>
    </xdr:to>
    <xdr:pic>
      <xdr:nvPicPr>
        <xdr:cNvPr id="10" name="image522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1147600</xdr:colOff>
      <xdr:row>45</xdr:row>
      <xdr:rowOff>714400</xdr:rowOff>
    </xdr:to>
    <xdr:pic>
      <xdr:nvPicPr>
        <xdr:cNvPr id="11" name="image523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fraisier.ru/catalog/bumazhnye_formy_dlya_vypechki/forma_bumazhnaya_dlya_keksa_brown/" TargetMode="External"/><Relationship Id="rId3" Type="http://schemas.openxmlformats.org/officeDocument/2006/relationships/hyperlink" Target="https://fraisier.ru/catalog/bumazhnye_formy_dlya_vypechki/forma_bumazhnaya_dlya_keksa_chernaya_550_ml/" TargetMode="External"/><Relationship Id="rId4" Type="http://schemas.openxmlformats.org/officeDocument/2006/relationships/hyperlink" Target="https://fraisier.ru/catalog/kovriki_formy_paletki/forma_dlya_shokolada_shary_5_dizaynov_diametr_7_sm/" TargetMode="External"/><Relationship Id="rId5" Type="http://schemas.openxmlformats.org/officeDocument/2006/relationships/hyperlink" Target="https://fraisier.ru/catalog/kovriki_formy_paletki/forma_mini_shary_diametr_2_sm_5_dizaynov_na_plastine/" TargetMode="Externa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hyperlink" Target="https://fraisier.ru/catalog/zhelatin/zhelatin_pishchevoy_govyazhiy_200_blyum/" TargetMode="External"/><Relationship Id="rId3" Type="http://schemas.openxmlformats.org/officeDocument/2006/relationships/hyperlink" Target="https://fraisier.ru/catalog/tartine_tartin/pektin_nh_termoobratimyy/" TargetMode="External"/><Relationship Id="rId4" Type="http://schemas.openxmlformats.org/officeDocument/2006/relationships/hyperlink" Target="https://fraisier.ru/catalog/belyy_shokolad_2/pektin_tsitrusovyy_ceampectin_ex_4433/" TargetMode="External"/><Relationship Id="rId5" Type="http://schemas.openxmlformats.org/officeDocument/2006/relationships/hyperlink" Target="https://fraisier.ru/catalog/belyy_shokolad_2/pektin_tsitrusovyy_ceampectin_lma_6310/" TargetMode="External"/><Relationship Id="rId6" Type="http://schemas.openxmlformats.org/officeDocument/2006/relationships/hyperlink" Target="https://fraisier.ru/catalog/belyy_shokolad_2/pektin_tsitrusovyy_ceampectin_ss_4510_/" TargetMode="External"/><Relationship Id="rId7" Type="http://schemas.openxmlformats.org/officeDocument/2006/relationships/hyperlink" Target="https://fraisier.ru/catalog/belyy_shokolad_2/pektin_tsitrusovyy_ceampectin_vis_4040/" TargetMode="External"/><Relationship Id="rId8" Type="http://schemas.openxmlformats.org/officeDocument/2006/relationships/hyperlink" Target="https://fraisier.ru/catalog/belyy_shokolad_2/pektin_tsitrusovyy_ceampektin_4420/" TargetMode="External"/><Relationship Id="rId9" Type="http://schemas.openxmlformats.org/officeDocument/2006/relationships/hyperlink" Target="https://fraisier.ru/catalog/belyy_shokolad_2/pektin_tsitrusovyy_dlya_zefira/" TargetMode="External"/><Relationship Id="rId10" Type="http://schemas.openxmlformats.org/officeDocument/2006/relationships/hyperlink" Target="https://fraisier.ru/catalog/belyy_shokolad_2/pektin_tsitrusovyy_dlya_marmelada/" TargetMode="External"/><Relationship Id="rId11" Type="http://schemas.openxmlformats.org/officeDocument/2006/relationships/hyperlink" Target="https://fraisier.ru/catalog/belyy_shokolad_2/pektin_tsitrusovyy_universalnyy/" TargetMode="External"/><Relationship Id="rId12" Type="http://schemas.openxmlformats.org/officeDocument/2006/relationships/hyperlink" Target="https://fraisier.ru/catalog/belyy_shokolad_2/krakhmal_risovyy_remy_dr/" TargetMode="External"/><Relationship Id="rId13" Type="http://schemas.openxmlformats.org/officeDocument/2006/relationships/hyperlink" Target="https://fraisier.ru/catalog/zagustitel_na_osnove_krakhmala/stabilizator_dlya_nachinok/" TargetMode="External"/><Relationship Id="rId14" Type="http://schemas.openxmlformats.org/officeDocument/2006/relationships/hyperlink" Target="https://fraisier.ru/catalog/belyy_shokolad_2/guarovaya_kamed_200_mesh/" TargetMode="External"/><Relationship Id="rId15" Type="http://schemas.openxmlformats.org/officeDocument/2006/relationships/hyperlink" Target="https://fraisier.ru/catalog/kamedi/ksantanovaya_kamed_200_mesh/" TargetMode="External"/><Relationship Id="rId16" Type="http://schemas.openxmlformats.org/officeDocument/2006/relationships/hyperlink" Target="https://fraisier.ru/catalog/belyy_shokolad_2/izomalt_st_m_granulirovannyy/" TargetMode="External"/><Relationship Id="rId17" Type="http://schemas.openxmlformats.org/officeDocument/2006/relationships/hyperlink" Target="https://fraisier.ru/catalog/belyy_shokolad_2/izomalt_st_pf_poroshkovyy/" TargetMode="External"/><Relationship Id="rId18" Type="http://schemas.openxmlformats.org/officeDocument/2006/relationships/hyperlink" Target="https://fraisier.ru/catalog/belyy_shokolad_2/izomalt_melkokristallicheskiy_gs_s_povyshennoy_rastvorimostyu_dlya_dzhemov_marmelada_glazurey_i_vype/" TargetMode="External"/><Relationship Id="rId19" Type="http://schemas.openxmlformats.org/officeDocument/2006/relationships/hyperlink" Target="https://fraisier.ru/catalog/roskar_1/belok_yaichnyy_sukhoy_obessakharennyy_povyshennoy_vzbivaemosti_roskar/" TargetMode="External"/><Relationship Id="rId20" Type="http://schemas.openxmlformats.org/officeDocument/2006/relationships/hyperlink" Target="https://fraisier.ru/catalog/belyy_shokolad_2/volokno_rastitelnoe_tsitrusovoe_ceamfibre_7000f/" TargetMode="External"/><Relationship Id="rId21" Type="http://schemas.openxmlformats.org/officeDocument/2006/relationships/hyperlink" Target="https://fraisier.ru/catalog/belyy_shokolad_2/inulin_gr/" TargetMode="External"/><Relationship Id="rId22" Type="http://schemas.openxmlformats.org/officeDocument/2006/relationships/hyperlink" Target="https://fraisier.ru/catalog/rosplanta/smes_pryanostey_dlya_pryanikov_i_vypechki_sukhie_dukhi/" TargetMode="External"/><Relationship Id="rId23" Type="http://schemas.openxmlformats.org/officeDocument/2006/relationships/hyperlink" Target="https://fraisier.ru/catalog/sakharnaya_pudra/sakharnaya_pudra_tonkogo_pomola/" TargetMode="External"/><Relationship Id="rId24" Type="http://schemas.openxmlformats.org/officeDocument/2006/relationships/hyperlink" Target="https://fraisier.ru/catalog/funktsionalnye_ingredienty/pekarskiy_poroshok_beykin_super/" TargetMode="Externa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2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3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4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5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6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7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8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9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0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1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2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3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4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5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6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7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89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0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1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2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3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4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5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6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7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Relationship Id="rId198" Type="http://schemas.openxmlformats.org/officeDocument/2006/relationships/hyperlink" Target="http://calc.motr-online.com/soul_reaper?q=eyJ0eXAiOiJKV1QiLCJhbGciOiJIUzI1NiJ9.IntcInNraWxsc1wiOlsxMCwwLDAsMCwwLDcsNSwwLDAsMCwwLDEsNSw1LDUsNywwLDEsMSwxLDEsMiwwLDIsMiw1LDEsMCwwLDEsMywzLDEsMCwxLDMsMSw2LDcsNywwLDAsMCwwLDAsMCwwLDAsMCwwLDAsMCwwLDAsMCwwLDAsMCwwLDAsMF0sXCJvcHRpb25zXCI6W3tcImlkXCI6NDA0NixcIml0ZW1EZXB0U2tpbGxzXCI6W119LHtcImlkXCI6NDA0OSxcIml0ZW1EZXB0U2tpbGxzXCI6W119LHtcImlkXCI6NDI0MCxcIml0ZW1EZXB0U2tpbGxzXCI6W119XX0i.-QI7Y4nynoMohrM519KCZj4F6QRApNJh_udT5kP1bHM|eyJ0eXAiOiJKV1QiLCJhbGciOiJIUzI1NiJ9.IntcInN0YXRzXCI6e1wic3RyXCI6MSxcImFnaVwiOjEsXCJ2aXRcIjoxLFwiaW50XCI6MSxcImRleFwiOjEsXCJsdWtcIjoxfX0i.tWzOuNkoVxGdMqYha9SQlZRYTV-VBmUwcb4r5sfdufc" TargetMode="Externa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hyperlink" Target="https://fraisier.ru/catalog/belkolad_belcolade_4/kakao_poroshok_belcolade%203%20%D0%BA%D0%B3/" TargetMode="External"/><Relationship Id="rId3" Type="http://schemas.openxmlformats.org/officeDocument/2006/relationships/hyperlink" Target="https://fraisier.ru/catalog/kakao_barri_cacao_barry_1/kakao_poroshok_100_extra_brute_1_kg/" TargetMode="External"/><Relationship Id="rId4" Type="http://schemas.openxmlformats.org/officeDocument/2006/relationships/hyperlink" Target="https://fraisier.ru/catalog/kakao_i_kakao_produkty/kakao_poroshok_alkalizovannyy_ariba_kakao_amaro_22_24_ariba_sacao_amaro/" TargetMode="External"/><Relationship Id="rId5" Type="http://schemas.openxmlformats.org/officeDocument/2006/relationships/hyperlink" Target="https://fraisier.ru/catalog/belkolad_belcolade_5/kakao_maslo_belcolade/" TargetMode="External"/><Relationship Id="rId6" Type="http://schemas.openxmlformats.org/officeDocument/2006/relationships/hyperlink" Target="https://fraisier.ru/catalog/kakao_maslo/kakao_maslo_v_forme_diskov_callebaut_3_kg_ncb_hdo3_654/" TargetMode="External"/><Relationship Id="rId7" Type="http://schemas.openxmlformats.org/officeDocument/2006/relationships/hyperlink" Target="https://fraisier.ru/catalog/kakao_i_kakao_produkty/kakao_maslo_dezodorirovannoe_ariba_burro_di_kakao_ariba_burro_di_cacao/" TargetMode="External"/><Relationship Id="rId8" Type="http://schemas.openxmlformats.org/officeDocument/2006/relationships/hyperlink" Target="https://fraisier.ru/catalog/belkolad_belcolade_1/belkolad_belyy_belcolade_blansh_selekson_31_kakao/" TargetMode="External"/><Relationship Id="rId9" Type="http://schemas.openxmlformats.org/officeDocument/2006/relationships/hyperlink" Target="https://fraisier.ru/catalog/master_martini_master_martini_1/belyy_shokolad_ariba_bianco_dischi_31_ariba_byanko_diski/" TargetMode="External"/><Relationship Id="rId10" Type="http://schemas.openxmlformats.org/officeDocument/2006/relationships/hyperlink" Target="https://fraisier.ru/catalog/kakao_barri_cacao_barry_2/shokolad_belyy_zephyr_34_kakao_1_kg/" TargetMode="External"/><Relationship Id="rId11" Type="http://schemas.openxmlformats.org/officeDocument/2006/relationships/hyperlink" Target="https://fraisier.ru/catalog/kakao_barri_cacao_barry_2/shokolad_belyy_zephyr_34_kakao_/" TargetMode="External"/><Relationship Id="rId12" Type="http://schemas.openxmlformats.org/officeDocument/2006/relationships/hyperlink" Target="https://fraisier.ru/catalog/belyy_shokolad_3/shokolad_belyy_kallety_25_9_kakao/" TargetMode="External"/><Relationship Id="rId13" Type="http://schemas.openxmlformats.org/officeDocument/2006/relationships/hyperlink" Target="https://fraisier.ru/catalog/belyy_shokolad_3/shokolad_belyy_s_ponizhennym_soderzhaniem_sakhara_velvet_32_kakao/" TargetMode="External"/><Relationship Id="rId14" Type="http://schemas.openxmlformats.org/officeDocument/2006/relationships/hyperlink" Target="https://fraisier.ru/catalog/sikao_sicao/belyy_shokolad_select_28_kakao/" TargetMode="External"/><Relationship Id="rId15" Type="http://schemas.openxmlformats.org/officeDocument/2006/relationships/hyperlink" Target="https://fraisier.ru/catalog/sikao_sicao/shokolad_belyy_tabletki_27_/" TargetMode="External"/><Relationship Id="rId16" Type="http://schemas.openxmlformats.org/officeDocument/2006/relationships/hyperlink" Target="https://fraisier.ru/catalog/glf_2/molochnyy_shokolad_sahara_latte_dischi_sakhara_latte_v_diskakh/" TargetMode="External"/><Relationship Id="rId17" Type="http://schemas.openxmlformats.org/officeDocument/2006/relationships/hyperlink" Target="https://fraisier.ru/catalog/belkolad_belcolade_2/molochnaya_kollektsiya_venesuela_43/" TargetMode="External"/><Relationship Id="rId18" Type="http://schemas.openxmlformats.org/officeDocument/2006/relationships/hyperlink" Target="https://fraisier.ru/catalog/belkolad_belcolade_2/molochnyy_shokolad_na_maltitole_v_blokakh_5kh5_kg/" TargetMode="External"/><Relationship Id="rId19" Type="http://schemas.openxmlformats.org/officeDocument/2006/relationships/hyperlink" Target="https://fraisier.ru/catalog/belkolad_belcolade_2/shokolad_molochnyy_belcolade_le_selekson_35_kakao/" TargetMode="External"/><Relationship Id="rId20" Type="http://schemas.openxmlformats.org/officeDocument/2006/relationships/hyperlink" Target="https://fraisier.ru/catalog/master_martini_master_martini_2/molochnyy_shokolad_ariba_latte_dischi_32_ariba_latte_diski/" TargetMode="External"/><Relationship Id="rId21" Type="http://schemas.openxmlformats.org/officeDocument/2006/relationships/hyperlink" Target="https://fraisier.ru/catalog/molochnyy_shokolad_2/shokolad_molochnyy_kuvertyur_lactee_superieure_38_2_kakao/" TargetMode="External"/><Relationship Id="rId22" Type="http://schemas.openxmlformats.org/officeDocument/2006/relationships/hyperlink" Target="https://fraisier.ru/catalog/molochnyy_shokolad_3/shokolad_molochnyy_kallety_33_6_kakao/" TargetMode="External"/><Relationship Id="rId23" Type="http://schemas.openxmlformats.org/officeDocument/2006/relationships/hyperlink" Target="https://fraisier.ru/catalog/sikao_sicao/shokolad_molochnyy_33_kakao/" TargetMode="External"/><Relationship Id="rId24" Type="http://schemas.openxmlformats.org/officeDocument/2006/relationships/hyperlink" Target="https://fraisier.ru/catalog/belkolad_belcolade_3/belkolad_oridzhin_peru_64/" TargetMode="External"/><Relationship Id="rId25" Type="http://schemas.openxmlformats.org/officeDocument/2006/relationships/hyperlink" Target="https://fraisier.ru/catalog/belkolad_belcolade_3/belkolad_temnyy_nuar_selekson_55_kakao_v_tabletkakh/" TargetMode="External"/><Relationship Id="rId26" Type="http://schemas.openxmlformats.org/officeDocument/2006/relationships/hyperlink" Target="https://fraisier.ru/catalog/belkolad_belcolade_3/belkolad_chernyy_nuar_suprim_70_kakao/" TargetMode="External"/><Relationship Id="rId27" Type="http://schemas.openxmlformats.org/officeDocument/2006/relationships/hyperlink" Target="https://fraisier.ru/catalog/master_martini_master_martini_3/gorkiy_shokolad_ariba_fondente_diski_60_35_37_ariba_fondente_dischi_/" TargetMode="External"/><Relationship Id="rId28" Type="http://schemas.openxmlformats.org/officeDocument/2006/relationships/hyperlink" Target="https://fraisier.ru/catalog/master_martini_master_martini_3/gorkiy_shokolad_ariba_fondente_diski_72_38_40_ariba_fondente_dischi_/" TargetMode="External"/><Relationship Id="rId29" Type="http://schemas.openxmlformats.org/officeDocument/2006/relationships/hyperlink" Target="https://fraisier.ru/catalog/master_martini_master_martini_3/temnyy_shokolad_ariba_fondente_diski_temnye_54_32_34_ariba_fondente_dischi_/" TargetMode="External"/><Relationship Id="rId30" Type="http://schemas.openxmlformats.org/officeDocument/2006/relationships/hyperlink" Target="https://fraisier.ru/catalog/master_martini_master_martini_3/temnyy_shokolad_bay_skalette_fondenti_bay_scagliette_fondenti/" TargetMode="External"/><Relationship Id="rId31" Type="http://schemas.openxmlformats.org/officeDocument/2006/relationships/hyperlink" Target="https://fraisier.ru/catalog/t_mnyy_shokolad/temnyy_shokolad_kallety_70_5_kakao/" TargetMode="External"/><Relationship Id="rId32" Type="http://schemas.openxmlformats.org/officeDocument/2006/relationships/hyperlink" Target="https://fraisier.ru/catalog/t_mnyy_shokolad/shokolad_temnyy_kallety_54_5_kakao/" TargetMode="External"/><Relationship Id="rId33" Type="http://schemas.openxmlformats.org/officeDocument/2006/relationships/hyperlink" Target="https://fraisier.ru/catalog/sikao_sicao/shokolad_gorkiy_70_1_kakao_v_kalletakh/" TargetMode="External"/><Relationship Id="rId34" Type="http://schemas.openxmlformats.org/officeDocument/2006/relationships/hyperlink" Target="https://fraisier.ru/catalog/sikao_sicao/shokolad_temnyy_52%2C6%20kakao/" TargetMode="External"/><Relationship Id="rId35" Type="http://schemas.openxmlformats.org/officeDocument/2006/relationships/hyperlink" Target="https://fraisier.ru/catalog/icam_s_p_a/kubiki_shokoladnye_termostoykie_malina_/" TargetMode="External"/><Relationship Id="rId36" Type="http://schemas.openxmlformats.org/officeDocument/2006/relationships/hyperlink" Target="https://fraisier.ru/catalog/icam_s_p_a/kubiki_shokoladnye_termostoykie_fistashka/" TargetMode="External"/><Relationship Id="rId37" Type="http://schemas.openxmlformats.org/officeDocument/2006/relationships/hyperlink" Target="https://fraisier.ru/catalog/icam_s_p_a/kubiki_shokoladnye_termostoykie_chernika/" TargetMode="External"/><Relationship Id="rId38" Type="http://schemas.openxmlformats.org/officeDocument/2006/relationships/hyperlink" Target="https://fraisier.ru/catalog/termostabilnye_kapli/bay_fondente_goccini_bay_fondente_gochchine_2000/" TargetMode="External"/><Relationship Id="rId39" Type="http://schemas.openxmlformats.org/officeDocument/2006/relationships/hyperlink" Target="https://fraisier.ru/catalog/termostabilnye_kapli/temnyy_shokolad_bay_chanks_fondenti_bay_chunks_fondenti/" TargetMode="External"/><Relationship Id="rId40" Type="http://schemas.openxmlformats.org/officeDocument/2006/relationships/hyperlink" Target="https://fraisier.ru/catalog/dekor_1/zavitki_iz_temnogo_i_belogo_shokolada_mona_liza_/" TargetMode="External"/><Relationship Id="rId41" Type="http://schemas.openxmlformats.org/officeDocument/2006/relationships/hyperlink" Target="https://fraisier.ru/catalog/dekor_1/rozovye_zhemchuzhiny_iz_shokolada_rubi_s_khrustyashchim_sloem_crispearls_ruby_/" TargetMode="External"/><Relationship Id="rId42" Type="http://schemas.openxmlformats.org/officeDocument/2006/relationships/hyperlink" Target="https://fraisier.ru/catalog/shokoladnyy_dekor/ukrashenie_shokoladnoe_kudri_karamel/" TargetMode="External"/><Relationship Id="rId43" Type="http://schemas.openxmlformats.org/officeDocument/2006/relationships/hyperlink" Target="https://fraisier.ru/catalog/shokoladnyy_dekor/ukrashenie_shokoladnoe_kudri_klubnichnye/" TargetMode="External"/><Relationship Id="rId44" Type="http://schemas.openxmlformats.org/officeDocument/2006/relationships/hyperlink" Target="https://fraisier.ru/catalog/shokoladnyy_dekor/ukrashenie_shokoladnoe_kudri_patti_miks_/" TargetMode="External"/><Relationship Id="rId45" Type="http://schemas.openxmlformats.org/officeDocument/2006/relationships/hyperlink" Target="https://fraisier.ru/catalog/s_raznymi_vkusami/shokolad_ruby_47_3_kakao/" TargetMode="External"/><Relationship Id="rId46" Type="http://schemas.openxmlformats.org/officeDocument/2006/relationships/hyperlink" Target="https://fraisier.ru/catalog/shokolad_s_raznymi_vkusami/shokolad_rozovyy_so_vkusom_klubniki_strawberry_callets/" TargetMode="External"/><Relationship Id="rId47" Type="http://schemas.openxmlformats.org/officeDocument/2006/relationships/hyperlink" Target="https://fraisier.ru/catalog/netermostabilnaya/glazur_karibe_byanko_diski_caribe_bianco_dischi/" TargetMode="External"/><Relationship Id="rId48" Type="http://schemas.openxmlformats.org/officeDocument/2006/relationships/hyperlink" Target="https://fraisier.ru/catalog/netermostabilnaya/glazur_karibe_fondente_diski_caribe_fondente_dischi_/" TargetMode="External"/><Relationship Id="rId49" Type="http://schemas.openxmlformats.org/officeDocument/2006/relationships/hyperlink" Target="https://fraisier.ru/catalog/netermostabilnaya/chentramerika_roza_fragola_diski_centramerica_rosa_fragola_dischi/" TargetMode="External"/><Relationship Id="rId50" Type="http://schemas.openxmlformats.org/officeDocument/2006/relationships/hyperlink" Target="https://fraisier.ru/catalog/termostabilnaya/karibe_fondente_gochche_850_caribe_fondente_gocce_850/" TargetMode="External"/><Relationship Id="rId51" Type="http://schemas.openxmlformats.org/officeDocument/2006/relationships/hyperlink" Target="https://fraisier.ru/catalog/shokoladnye_glazuri_i_zhirovye_nachinki/karat_kaver_klassik_dark/" TargetMode="External"/><Relationship Id="rId52" Type="http://schemas.openxmlformats.org/officeDocument/2006/relationships/hyperlink" Target="https://fraisier.ru/catalog/shokoladnye_glazuri_i_zhirovye_nachinki/karat_kaverlyuks_dark/" TargetMode="External"/><Relationship Id="rId53" Type="http://schemas.openxmlformats.org/officeDocument/2006/relationships/hyperlink" Target="https://fraisier.ru/catalog/shokoladnye_glazuri_i_zhirovye_nachinki/karat_kaverlyuks_vayt_/" TargetMode="External"/><Relationship Id="rId54" Type="http://schemas.openxmlformats.org/officeDocument/2006/relationships/hyperlink" Target="https://fraisier.ru/catalog/shokoladnye_glazuri_i_zhirovye_nachinki/karat_kaverlyuks_karamel_/" TargetMode="External"/><Relationship Id="rId55" Type="http://schemas.openxmlformats.org/officeDocument/2006/relationships/hyperlink" Target="https://fraisier.ru/catalog/shokoladnye_glazuri_i_zhirovye_nachinki/karat_kaverlyuks_milk_/" TargetMode="Externa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hyperlink" Target="https://fraisier.ru/catalog/agenty_dlya_smazki_1/zhidkiy_margarin_sprink_sprink/" TargetMode="External"/><Relationship Id="rId3" Type="http://schemas.openxmlformats.org/officeDocument/2006/relationships/hyperlink" Target="https://fraisier.ru/catalog/agenty_dlya_smazki/zhir_spetsialnogo_naznacheniya_dovidol/" TargetMode="External"/><Relationship Id="rId4" Type="http://schemas.openxmlformats.org/officeDocument/2006/relationships/hyperlink" Target="https://fraisier.ru/catalog/agenty_dlya_smazki/zhir_spetsialnogo_naznacheniya_dovidol_universalnyy/" TargetMode="External"/><Relationship Id="rId5" Type="http://schemas.openxmlformats.org/officeDocument/2006/relationships/hyperlink" Target="https://fraisier.ru/catalog/margariny1/margarin_alokha_pastri_82/" TargetMode="External"/><Relationship Id="rId6" Type="http://schemas.openxmlformats.org/officeDocument/2006/relationships/hyperlink" Target="https://fraisier.ru/catalog/margariny1/mimetik_20_/" TargetMode="External"/><Relationship Id="rId7" Type="http://schemas.openxmlformats.org/officeDocument/2006/relationships/hyperlink" Target="https://fraisier.ru/catalog/margariny1/mimetik_32/" TargetMode="External"/><Relationship Id="rId8" Type="http://schemas.openxmlformats.org/officeDocument/2006/relationships/hyperlink" Target="https://fraisier.ru/catalog/myagkie_zerna/proroshchennye_fermentirovannye_zerna_rzhi_v_sirope/" TargetMode="External"/><Relationship Id="rId9" Type="http://schemas.openxmlformats.org/officeDocument/2006/relationships/hyperlink" Target="https://fraisier.ru/catalog/myagkie_zerna/%D0%A1%D0%9E%D0%A4%D0%A2%D0%93%D0%A0%D0%95%D0%99%D0%9D%20%D0%97%D0%95%D0%9B%D0%95%D0%9D%D0%90%D0%AF%20%D0%93%D0%A0%D0%95%D0%A7%D0%9A%D0%90%20%D0%93%D1%80%D0%B5%D1%87%D0%BD%D0%B5%D0%B2%D0%B0%D1%8F%20%D1%8F%D0%B4%D1%80%D0%B8%D1%86%D0%B0%2C%20%D0%BF%D1%80%D0%BE%D0%B2%D0%B0%D1%80%D0%B5%D0%BD%D0%BD%D0%B0%D1%8F%20%D0%B2%20%D1%81%D0%BC%D0%B5%D1%81%D0%B8%20%D0%BF%D1%88%D0%B5%D0%BD%D0%B8%D1%87%D0%BD%D0%BE%D0%B9%20%D0%B8%20%D1%80%D0%B6%D0%B0%D0%BD%D0%BE%D0%B9%20%D0%B7%D0%B0%D0%BA%D0%B2%D0%B0%D1%81%D0%BE%D0%BA%2C%20%D0%B4%D0%BE%D0%B7%D0%B8%D1%80%D0%BE%D0%B2%D0%BA%D0%B0%2010%25-40%25%2C/" TargetMode="External"/><Relationship Id="rId10" Type="http://schemas.openxmlformats.org/officeDocument/2006/relationships/hyperlink" Target="https://fraisier.ru/catalog/myagkie_zerna/softgreyn_proroshchennaya_pshenitsa/" TargetMode="External"/><Relationship Id="rId11" Type="http://schemas.openxmlformats.org/officeDocument/2006/relationships/hyperlink" Target="https://fraisier.ru/catalog/myagkie_zerna/softgreyn_proroshchennoe_zerno_cl_tselnye_zerna_rzhi_obogashchennye_naturalnoy_zakvaskoy/" TargetMode="External"/><Relationship Id="rId12" Type="http://schemas.openxmlformats.org/officeDocument/2006/relationships/hyperlink" Target="https://fraisier.ru/catalog/myagkie_zerna/softgreyn_chia_/" TargetMode="External"/><Relationship Id="rId13" Type="http://schemas.openxmlformats.org/officeDocument/2006/relationships/hyperlink" Target="https://fraisier.ru/catalog/naturalnye_zakvaski/baltiya_zavarnaya_zavarka_dlya_prigotovleniya_rzhano_pshenichnykh_i_rzhanykh_zavarnykh_izdeliy_dozir/" TargetMode="External"/><Relationship Id="rId14" Type="http://schemas.openxmlformats.org/officeDocument/2006/relationships/hyperlink" Target="https://fraisier.ru/catalog/naturalnye_zakvaski/o_tentik_durum_aktivnyy_ingredient_dlya_razlichnykh_vidov_khleba_4_/" TargetMode="External"/><Relationship Id="rId15" Type="http://schemas.openxmlformats.org/officeDocument/2006/relationships/hyperlink" Target="https://fraisier.ru/catalog/naturalnye_zakvaski/o_tentik_oridzhin_aktivnyy_ingredient_dlya_razlich_vidov_khleba_4_/" TargetMode="External"/><Relationship Id="rId16" Type="http://schemas.openxmlformats.org/officeDocument/2006/relationships/hyperlink" Target="https://fraisier.ru/catalog/naturalnye_zakvaski/prima_serviliya_naturalnaya_zakvaska_dlya_pshenichnykh_vidov_khleba_2_4_/" TargetMode="External"/><Relationship Id="rId17" Type="http://schemas.openxmlformats.org/officeDocument/2006/relationships/hyperlink" Target="https://fraisier.ru/catalog/naturalnye_zakvaski/sapore_andzhelo_naturalnaya_zakvaska_dlya_rzhanykh_i_rzhano_pshenichnykh_vidov_khleba_5_12_/" TargetMode="External"/><Relationship Id="rId18" Type="http://schemas.openxmlformats.org/officeDocument/2006/relationships/hyperlink" Target="https://fraisier.ru/catalog/naturalnye_zakvaski/sapore_iolanta_naturalnaya_zakvaska_dlya_pshenichnykh_i_sdobnykh_izdeliy_/" TargetMode="External"/><Relationship Id="rId19" Type="http://schemas.openxmlformats.org/officeDocument/2006/relationships/hyperlink" Target="https://fraisier.ru/catalog/naturalnye_zakvaski/sapore_otello_naturalnaya_rzhanaya_poroshkoobraznaya_zakvaska_1_5_2_/" TargetMode="External"/><Relationship Id="rId20" Type="http://schemas.openxmlformats.org/officeDocument/2006/relationships/hyperlink" Target="https://fraisier.ru/catalog/naturalnye_zakvaski/sapore_rigoletto_naturalnaya_zakvaska_dlya_khlebobulochnykh_izdeliy_2_/" TargetMode="External"/><Relationship Id="rId21" Type="http://schemas.openxmlformats.org/officeDocument/2006/relationships/hyperlink" Target="https://fraisier.ru/catalog/naturalnye_zakvaski/sapore_traviata_naturalnaya_zakvaska_dlya_pshenichnykh_vidov_khleba_2_3_/" TargetMode="External"/><Relationship Id="rId22" Type="http://schemas.openxmlformats.org/officeDocument/2006/relationships/hyperlink" Target="https://fraisier.ru/catalog/naturalnye_zakvaski/sapore_fidelio_naturalnaya_zakvaska_dlya_khlebobulochnykh_izdeliy_1_4_/" TargetMode="External"/><Relationship Id="rId23" Type="http://schemas.openxmlformats.org/officeDocument/2006/relationships/hyperlink" Target="https://fraisier.ru/catalog/naturalnye_zakvaski/sapore_yudif_naturalnaya_zakvaska_dlya_rzhanykh_i_rzhano_pshenichnykh_vidov_khleba_5_12_/" TargetMode="External"/><Relationship Id="rId24" Type="http://schemas.openxmlformats.org/officeDocument/2006/relationships/hyperlink" Target="https://fraisier.ru/catalog/irka_irca_19/pomadka_sakharnaya_fondant/" TargetMode="External"/><Relationship Id="rId25" Type="http://schemas.openxmlformats.org/officeDocument/2006/relationships/hyperlink" Target="https://fraisier.ru/catalog/glazuri_geli_pomady/gel_dekorfil_apelsin/" TargetMode="External"/><Relationship Id="rId26" Type="http://schemas.openxmlformats.org/officeDocument/2006/relationships/hyperlink" Target="https://fraisier.ru/catalog/glazuri_geli_pomady/gel_dekorfil_klubnika/" TargetMode="External"/><Relationship Id="rId27" Type="http://schemas.openxmlformats.org/officeDocument/2006/relationships/hyperlink" Target="https://fraisier.ru/catalog/glazuri_geli_pomady/gel_dekorfil_mango_i_marakuya/" TargetMode="External"/><Relationship Id="rId28" Type="http://schemas.openxmlformats.org/officeDocument/2006/relationships/hyperlink" Target="https://fraisier.ru/catalog/glazuri_geli_pomady/gel_dekorfil_persik/" TargetMode="External"/><Relationship Id="rId29" Type="http://schemas.openxmlformats.org/officeDocument/2006/relationships/hyperlink" Target="https://fraisier.ru/catalog/glazuri_geli_pomady/gel_dekorfil_s_aromatom_cherniki_so_slivkami/" TargetMode="External"/><Relationship Id="rId30" Type="http://schemas.openxmlformats.org/officeDocument/2006/relationships/hyperlink" Target="https://fraisier.ru/catalog/glazuri_geli_pomady/gel_dekorfil_so_vkusom_vishni/" TargetMode="External"/><Relationship Id="rId31" Type="http://schemas.openxmlformats.org/officeDocument/2006/relationships/hyperlink" Target="https://fraisier.ru/catalog/glazuri_geli_pomady/gel_dekorfil_chernaya_smorodina/" TargetMode="External"/><Relationship Id="rId32" Type="http://schemas.openxmlformats.org/officeDocument/2006/relationships/hyperlink" Target="https://fraisier.ru/catalog/glazuri_geli_pomady/glazur_aysing_malina/" TargetMode="External"/><Relationship Id="rId33" Type="http://schemas.openxmlformats.org/officeDocument/2006/relationships/hyperlink" Target="https://fraisier.ru/catalog/glazuri_geli_pomady/glazur_aysing_so_vkusom_karameli_12_5_kg/" TargetMode="External"/><Relationship Id="rId34" Type="http://schemas.openxmlformats.org/officeDocument/2006/relationships/hyperlink" Target="https://fraisier.ru/catalog/glazuri_geli_pomady/glazur_fudzh_belaya_/" TargetMode="External"/><Relationship Id="rId35" Type="http://schemas.openxmlformats.org/officeDocument/2006/relationships/hyperlink" Target="https://fraisier.ru/catalog/glazuri_geli_pomady/glazur_fudzh_so_vkusom_shokolada/" TargetMode="External"/><Relationship Id="rId36" Type="http://schemas.openxmlformats.org/officeDocument/2006/relationships/hyperlink" Target="https://fraisier.ru/catalog/glazuri_geli_pomady/pomadka_aysing_belaya/" TargetMode="External"/><Relationship Id="rId37" Type="http://schemas.openxmlformats.org/officeDocument/2006/relationships/hyperlink" Target="https://fraisier.ru/catalog/glazuri_geli_pomady/pomadka_aysing_limon/" TargetMode="External"/><Relationship Id="rId38" Type="http://schemas.openxmlformats.org/officeDocument/2006/relationships/hyperlink" Target="https://fraisier.ru/catalog/glazuri_geli_pomady/pomadka_sukhaya_poroshkoobraznaya_puratos/" TargetMode="External"/><Relationship Id="rId39" Type="http://schemas.openxmlformats.org/officeDocument/2006/relationships/hyperlink" Target="https://fraisier.ru/catalog/glazuri_geli_pomady/glazur_armoni_rubi_klubnichnaya/" TargetMode="External"/><Relationship Id="rId40" Type="http://schemas.openxmlformats.org/officeDocument/2006/relationships/hyperlink" Target="https://fraisier.ru/catalog/glazuri_geli_pomady/glazur_armoni_ays_gleyz_belaya/" TargetMode="External"/><Relationship Id="rId41" Type="http://schemas.openxmlformats.org/officeDocument/2006/relationships/hyperlink" Target="https://fraisier.ru/catalog/glazuri_geli_pomady/glazur_armoni_briant_abrikosovaya/" TargetMode="External"/><Relationship Id="rId42" Type="http://schemas.openxmlformats.org/officeDocument/2006/relationships/hyperlink" Target="https://fraisier.ru/catalog/glazuri_geli_pomady/glazur_armoni_neytralnaya/" TargetMode="External"/><Relationship Id="rId43" Type="http://schemas.openxmlformats.org/officeDocument/2006/relationships/hyperlink" Target="https://fraisier.ru/catalog/glazuri_geli_pomady/glazur_brilo_neytral/" TargetMode="External"/><Relationship Id="rId44" Type="http://schemas.openxmlformats.org/officeDocument/2006/relationships/hyperlink" Target="https://fraisier.ru/catalog/glazuri_geli_pomady/glazur_brilo_belaya/" TargetMode="External"/><Relationship Id="rId45" Type="http://schemas.openxmlformats.org/officeDocument/2006/relationships/hyperlink" Target="https://fraisier.ru/catalog/glazuri_geli_pomady/glazur_brilo_karamelnaya_/" TargetMode="External"/><Relationship Id="rId46" Type="http://schemas.openxmlformats.org/officeDocument/2006/relationships/hyperlink" Target="https://fraisier.ru/catalog/glazuri_geli_pomady/glazur_brilo_so_vkusom_klenovogo_siropa/" TargetMode="External"/><Relationship Id="rId47" Type="http://schemas.openxmlformats.org/officeDocument/2006/relationships/hyperlink" Target="https://fraisier.ru/catalog/glazuri_geli_pomady/glazur_brilo_so_vkusom_klubniki_/" TargetMode="External"/><Relationship Id="rId48" Type="http://schemas.openxmlformats.org/officeDocument/2006/relationships/hyperlink" Target="https://fraisier.ru/catalog/glazuri_geli_pomady/glazur_brilo_temnyy_shokolad/" TargetMode="External"/><Relationship Id="rId49" Type="http://schemas.openxmlformats.org/officeDocument/2006/relationships/hyperlink" Target="https://fraisier.ru/catalog/glazuri_geli_pomady/glazur_miruar_glassazh_nuar/" TargetMode="External"/><Relationship Id="rId50" Type="http://schemas.openxmlformats.org/officeDocument/2006/relationships/hyperlink" Target="https://fraisier.ru/catalog/glazuri_geli_pomady/glazur_miruar_karamelnyy/" TargetMode="External"/><Relationship Id="rId51" Type="http://schemas.openxmlformats.org/officeDocument/2006/relationships/hyperlink" Target="https://fraisier.ru/catalog/glazuri_geli_pomady/glazur_miruar_neytralnaya_s_aromatom_vanili_/" TargetMode="External"/><Relationship Id="rId52" Type="http://schemas.openxmlformats.org/officeDocument/2006/relationships/hyperlink" Target="https://fraisier.ru/catalog/tiltey_tiltay/vzryvnaya_karamel_0_5_4_5_mm/" TargetMode="External"/><Relationship Id="rId53" Type="http://schemas.openxmlformats.org/officeDocument/2006/relationships/hyperlink" Target="https://fraisier.ru/catalog/tiltey_tiltay/vzryvnaya_karamel_1_3_mm/" TargetMode="External"/><Relationship Id="rId54" Type="http://schemas.openxmlformats.org/officeDocument/2006/relationships/hyperlink" Target="https://fraisier.ru/catalog/dekor_2/posypka_zhemchuzhnyy_sakhar/" TargetMode="External"/><Relationship Id="rId55" Type="http://schemas.openxmlformats.org/officeDocument/2006/relationships/hyperlink" Target="https://fraisier.ru/catalog/sakharnaya_pudra/sakharnaya_pudra_tonkogo_pomola/" TargetMode="External"/><Relationship Id="rId56" Type="http://schemas.openxmlformats.org/officeDocument/2006/relationships/hyperlink" Target="https://fraisier.ru/catalog/posypki_1/solenaya_slivochnaya_karamel_kusochkami_1_3_mm/" TargetMode="External"/><Relationship Id="rId57" Type="http://schemas.openxmlformats.org/officeDocument/2006/relationships/hyperlink" Target="https://fraisier.ru/catalog/kremy_na_rastitelnykh_maslakh_i_prochie_produkty_uht/sanset_gleyz/" TargetMode="External"/><Relationship Id="rId58" Type="http://schemas.openxmlformats.org/officeDocument/2006/relationships/hyperlink" Target="https://fraisier.ru/catalog/zhidkie_uluchshiteli/puralik_rzhanoy_fresh_uluchshitel_dlya_prodleniya_svezhesti_rzhanogo_i_rzhano_pshenichnykh_khlebov_d/" TargetMode="External"/><Relationship Id="rId59" Type="http://schemas.openxmlformats.org/officeDocument/2006/relationships/hyperlink" Target="https://fraisier.ru/catalog/uluchshiteli_dlya_izdeliy_s_prodlennym_srokom_godnosti/uluchshitel_s500_long_layf/" TargetMode="External"/><Relationship Id="rId60" Type="http://schemas.openxmlformats.org/officeDocument/2006/relationships/hyperlink" Target="https://fraisier.ru/catalog/uluchshiteli_dlya_izdeliy_s_prodlennym_srokom_godnosti/uluchshitel_s500_mb_protekt/" TargetMode="External"/><Relationship Id="rId61" Type="http://schemas.openxmlformats.org/officeDocument/2006/relationships/hyperlink" Target="https://fraisier.ru/catalog/uluchshiteli_dlya_zamorozhennykh_izdeliy/dabl_beyk_kolor_1_2_/" TargetMode="External"/><Relationship Id="rId62" Type="http://schemas.openxmlformats.org/officeDocument/2006/relationships/hyperlink" Target="https://fraisier.ru/catalog/uluchshiteli_dlya_zamorozhennykh_izdeliy/uluchshitel_kvik_step/" TargetMode="External"/><Relationship Id="rId63" Type="http://schemas.openxmlformats.org/officeDocument/2006/relationships/hyperlink" Target="https://fraisier.ru/catalog/uluchshiteli_dlya_zamorozhennykh_izdeliy/uluchshitel_kimo_akti_plyus/" TargetMode="External"/><Relationship Id="rId64" Type="http://schemas.openxmlformats.org/officeDocument/2006/relationships/hyperlink" Target="https://fraisier.ru/catalog/uluchshiteli_dlya_zamorozhennykh_izdeliy/uluchshitel_kimo_m_/" TargetMode="External"/><Relationship Id="rId65" Type="http://schemas.openxmlformats.org/officeDocument/2006/relationships/hyperlink" Target="https://fraisier.ru/catalog/uluchshiteli_dlya_zamorozhennykh_izdeliy/uluchshitel_tigris_kimo/" TargetMode="External"/><Relationship Id="rId66" Type="http://schemas.openxmlformats.org/officeDocument/2006/relationships/hyperlink" Target="https://fraisier.ru/catalog/uluchshiteli_dlya_pshenichnoy_muki/s_500_universalnyy_uluchshitel_novogo_pokoleniya_0_15_0_3_/" TargetMode="External"/><Relationship Id="rId67" Type="http://schemas.openxmlformats.org/officeDocument/2006/relationships/hyperlink" Target="https://fraisier.ru/catalog/uluchshiteli_dlya_pshenichnoy_muki/s_5000_universalnyy_uluchshitel_dlya_pshenichnoy_muki_do_1_/" TargetMode="External"/><Relationship Id="rId68" Type="http://schemas.openxmlformats.org/officeDocument/2006/relationships/hyperlink" Target="https://fraisier.ru/catalog/uluchshiteli_dlya_pshenichnoy_muki/tbc_s500_rzhanoy_/" TargetMode="External"/><Relationship Id="rId69" Type="http://schemas.openxmlformats.org/officeDocument/2006/relationships/hyperlink" Target="https://fraisier.ru/catalog/uluchshiteli_dlya_pshenichnoy_muki/tvs_s500_modul_solyushn/" TargetMode="External"/><Relationship Id="rId70" Type="http://schemas.openxmlformats.org/officeDocument/2006/relationships/hyperlink" Target="https://fraisier.ru/catalog/uluchshiteli_dlya_pshenichnoy_muki/uluchshitel_dunapan_0_1_0_3_/" TargetMode="External"/><Relationship Id="rId71" Type="http://schemas.openxmlformats.org/officeDocument/2006/relationships/hyperlink" Target="https://fraisier.ru/catalog/uluchshiteli_dlya_pshenichnoy_muki/uluchshitel_dunapan_ekstra_0_15_0_3_/" TargetMode="External"/><Relationship Id="rId72" Type="http://schemas.openxmlformats.org/officeDocument/2006/relationships/hyperlink" Target="https://fraisier.ru/catalog/uluchshiteli_dlya_sdobnykh_izdeliy/uluchshitel_softr_gold_novyy_/" TargetMode="External"/><Relationship Id="rId73" Type="http://schemas.openxmlformats.org/officeDocument/2006/relationships/hyperlink" Target="https://fraisier.ru/catalog/uluchshiteli_dlya_sdobnykh_izdeliy/uluchshitel_softr_sdoba/" TargetMode="External"/><Relationship Id="rId74" Type="http://schemas.openxmlformats.org/officeDocument/2006/relationships/hyperlink" Target="https://fraisier.ru/catalog/uluchshiteli_moduli_dlya_proizvodstva_kh_b_izdeliy/uluchshitel_tvs_intens_rzhanoy_fresh/" TargetMode="External"/><Relationship Id="rId75" Type="http://schemas.openxmlformats.org/officeDocument/2006/relationships/hyperlink" Target="https://fraisier.ru/catalog/uluchshiteli_moduli_dlya_proizvodstva_kh_b_izdeliy/intens_ekstens_0_1_0_5_/" TargetMode="External"/><Relationship Id="rId76" Type="http://schemas.openxmlformats.org/officeDocument/2006/relationships/hyperlink" Target="https://fraisier.ru/catalog/uluchshiteli_moduli_dlya_proizvodstva_kh_b_izdeliy/tvs_softr_intens_fresh/" TargetMode="External"/><Relationship Id="rId77" Type="http://schemas.openxmlformats.org/officeDocument/2006/relationships/hyperlink" Target="https://fraisier.ru/catalog/uluchshiteli_moduli_dlya_proizvodstva_kh_b_izdeliy/uluchshitel_softr_intens_fresh_/" TargetMode="External"/><Relationship Id="rId78" Type="http://schemas.openxmlformats.org/officeDocument/2006/relationships/hyperlink" Target="https://fraisier.ru/catalog/smesi_dlya_proizvodstva_khleba_i_khlebobulochnyy_izdeliy/smes_izi_kareliya_15_/" TargetMode="External"/><Relationship Id="rId79" Type="http://schemas.openxmlformats.org/officeDocument/2006/relationships/hyperlink" Target="https://fraisier.ru/catalog/smesi_dlya_proizvodstva_khleba_i_khlebobulochnyy_izdeliy/smes_izi_kruassan_15/" TargetMode="External"/><Relationship Id="rId80" Type="http://schemas.openxmlformats.org/officeDocument/2006/relationships/hyperlink" Target="https://fraisier.ru/catalog/smesi_dlya_proizvodstva_khleba_i_khlebobulochnyy_izdeliy/smes_izi_ponchik_30_/" TargetMode="External"/><Relationship Id="rId81" Type="http://schemas.openxmlformats.org/officeDocument/2006/relationships/hyperlink" Target="https://fraisier.ru/catalog/smesi_dlya_proizvodstva_khleba_i_khlebobulochnyy_izdeliy/smes_izi_start_20/" TargetMode="External"/><Relationship Id="rId82" Type="http://schemas.openxmlformats.org/officeDocument/2006/relationships/hyperlink" Target="https://fraisier.ru/catalog/smesi_dlya_proizvodstva_khleba_i_khlebobulochnyy_izdeliy/smes_izi_tost_2_10_/" TargetMode="External"/><Relationship Id="rId83" Type="http://schemas.openxmlformats.org/officeDocument/2006/relationships/hyperlink" Target="https://fraisier.ru/catalog/smesi_dlya_proizvodstva_khleba_i_khlebobulochnyy_izdeliy/smes_puravita_multi_plyus_90_100/" TargetMode="External"/><Relationship Id="rId84" Type="http://schemas.openxmlformats.org/officeDocument/2006/relationships/hyperlink" Target="https://fraisier.ru/catalog/smesi_dlya_proizvodstva_khleba_i_khlebobulochnyy_izdeliy/smes_puravita_spaysi_5_25/" TargetMode="External"/><Relationship Id="rId85" Type="http://schemas.openxmlformats.org/officeDocument/2006/relationships/hyperlink" Target="https://fraisier.ru/catalog/smesi_dlya_proizvodstva_khleba_i_khlebobulochnyy_izdeliy/izi_berliner_10_/" TargetMode="External"/><Relationship Id="rId86" Type="http://schemas.openxmlformats.org/officeDocument/2006/relationships/hyperlink" Target="https://fraisier.ru/catalog/smesi_dlya_proizvodstva_khleba_i_khlebobulochnyy_izdeliy/izi_briosh_vanilla/" TargetMode="External"/><Relationship Id="rId87" Type="http://schemas.openxmlformats.org/officeDocument/2006/relationships/hyperlink" Target="https://fraisier.ru/catalog/smesi_dlya_proizvodstva_khleba_i_khlebobulochnyy_izdeliy/izi_soft_donat_30_/" TargetMode="External"/><Relationship Id="rId88" Type="http://schemas.openxmlformats.org/officeDocument/2006/relationships/hyperlink" Target="https://fraisier.ru/catalog/smesi_dlya_proizvodstva_khleba_i_khlebobulochnyy_izdeliy/puravita_fayber_50_/" TargetMode="External"/><Relationship Id="rId89" Type="http://schemas.openxmlformats.org/officeDocument/2006/relationships/hyperlink" Target="https://fraisier.ru/catalog/smesi_dlya_proizvodstva_khleba_i_khlebobulochnyy_izdeliy/smes_izi_briosh_3_5/" TargetMode="External"/><Relationship Id="rId90" Type="http://schemas.openxmlformats.org/officeDocument/2006/relationships/hyperlink" Target="https://fraisier.ru/catalog/smesi_dlya_proizvodstva_khleba_i_khlebobulochnyy_izdeliy/smes_izi_kartofelnyy_30/" TargetMode="External"/><Relationship Id="rId91" Type="http://schemas.openxmlformats.org/officeDocument/2006/relationships/hyperlink" Target="https://fraisier.ru/catalog/smesi_dlya_proizvodstva_khleba_i_khlebobulochnyy_izdeliy/smes_izi_premium_soft_20/" TargetMode="External"/><Relationship Id="rId92" Type="http://schemas.openxmlformats.org/officeDocument/2006/relationships/hyperlink" Target="https://fraisier.ru/catalog/smesi_dlya_proizvodstva_khleba_i_khlebobulochnyy_izdeliy/smes_izi_chiabatta_10_/" TargetMode="External"/><Relationship Id="rId93" Type="http://schemas.openxmlformats.org/officeDocument/2006/relationships/hyperlink" Target="https://fraisier.ru/catalog/smesi_dlya_proizvodstva_khleba_i_khlebobulochnyy_izdeliy/smes_puravita_men_50/" TargetMode="External"/><Relationship Id="rId94" Type="http://schemas.openxmlformats.org/officeDocument/2006/relationships/hyperlink" Target="https://fraisier.ru/catalog/smesi_dlya_proizvodstva_khleba_i_khlebobulochnyy_izdeliy/smes_puravita_multi_30_100/" TargetMode="External"/><Relationship Id="rId95" Type="http://schemas.openxmlformats.org/officeDocument/2006/relationships/hyperlink" Target="https://fraisier.ru/catalog/smesi_dlya_proizvodstva_khleba_i_khlebobulochnyy_izdeliy/smes_puravita_fitnes_100/" TargetMode="External"/><Relationship Id="rId96" Type="http://schemas.openxmlformats.org/officeDocument/2006/relationships/hyperlink" Target="https://fraisier.ru/catalog/smesi_dlya_proizvodstva_khleba_i_khlebobulochnyy_izdeliy/tegral_ringo_novaya/" TargetMode="External"/><Relationship Id="rId97" Type="http://schemas.openxmlformats.org/officeDocument/2006/relationships/hyperlink" Target="https://fraisier.ru/catalog/smesi_dlya_proizvodstva_khleba_i_khlebobulochnyy_izdeliy/smes_puravita_multi_plyus_90_100/" TargetMode="External"/><Relationship Id="rId98" Type="http://schemas.openxmlformats.org/officeDocument/2006/relationships/hyperlink" Target="https://fraisier.ru/catalog/smesi_dlya_proizvodstva_khleba_i_khlebobulochnyy_izdeliy/smes_puravita_men_50/" TargetMode="External"/><Relationship Id="rId99" Type="http://schemas.openxmlformats.org/officeDocument/2006/relationships/hyperlink" Target="https://fraisier.ru/catalog/smesi_dlya_proizvodstva_khleba_i_khlebobulochnyy_izdeliy/smes_puravita_multi_30_100/" TargetMode="External"/><Relationship Id="rId100" Type="http://schemas.openxmlformats.org/officeDocument/2006/relationships/hyperlink" Target="https://fraisier.ru/catalog/smesi_dlya_proizvodstva_khleba_i_khlebobulochnyy_izdeliy/smes_puravita_fitnes_100/" TargetMode="External"/><Relationship Id="rId101" Type="http://schemas.openxmlformats.org/officeDocument/2006/relationships/hyperlink" Target="https://fraisier.ru/catalog/smesi_dlya_proizvodstva_khleba_i_khlebobulochnyy_izdeliy/smes_izi_ponchik_30_/" TargetMode="External"/><Relationship Id="rId102" Type="http://schemas.openxmlformats.org/officeDocument/2006/relationships/hyperlink" Target="https://fraisier.ru/catalog/smesi_dlya_proizvodstva_khleba_i_khlebobulochnyy_izdeliy/izi_berliner_10_/" TargetMode="External"/><Relationship Id="rId103" Type="http://schemas.openxmlformats.org/officeDocument/2006/relationships/hyperlink" Target="https://fraisier.ru/catalog/smesi_dlya_proizvodstva_khleba_i_khlebobulochnyy_izdeliy/izi_soft_donat_30_/" TargetMode="External"/><Relationship Id="rId104" Type="http://schemas.openxmlformats.org/officeDocument/2006/relationships/hyperlink" Target="https://fraisier.ru/catalog/smesi_dlya_proizvodstva_khleba_i_khlebobulochnyy_izdeliy/tegral_ringo_novaya/" TargetMode="External"/><Relationship Id="rId105" Type="http://schemas.openxmlformats.org/officeDocument/2006/relationships/hyperlink" Target="https://fraisier.ru/catalog/smesi_dlya_proizvodstva_khleba_i_khlebobulochnyy_izdeliy/izi_briosh_vanilla/" TargetMode="External"/><Relationship Id="rId106" Type="http://schemas.openxmlformats.org/officeDocument/2006/relationships/hyperlink" Target="https://fraisier.ru/catalog/smesi_dlya_proizvodstva_khleba_i_khlebobulochnyy_izdeliy/smes_izi_briosh_3_5/" TargetMode="External"/><Relationship Id="rId107" Type="http://schemas.openxmlformats.org/officeDocument/2006/relationships/hyperlink" Target="https://fraisier.ru/catalog/smesi_dlya_proizvodstva_khleba_i_khlebobulochnyy_izdeliy/smes_izi_premium_soft_20/" TargetMode="External"/><Relationship Id="rId108" Type="http://schemas.openxmlformats.org/officeDocument/2006/relationships/hyperlink" Target="https://fraisier.ru/catalog/smesi_dlya_proizvodstva_khleba_i_khlebobulochnyy_izdeliy/smes_izi_kareliya_15_/" TargetMode="External"/><Relationship Id="rId109" Type="http://schemas.openxmlformats.org/officeDocument/2006/relationships/hyperlink" Target="https://fraisier.ru/catalog/smesi_dlya_proizvodstva_khleba_i_khlebobulochnyy_izdeliy/smes_izi_kruassan_15/" TargetMode="External"/><Relationship Id="rId110" Type="http://schemas.openxmlformats.org/officeDocument/2006/relationships/hyperlink" Target="https://fraisier.ru/catalog/smesi_dlya_proizvodstva_khleba_i_khlebobulochnyy_izdeliy/smes_izi_start_20/" TargetMode="External"/><Relationship Id="rId111" Type="http://schemas.openxmlformats.org/officeDocument/2006/relationships/hyperlink" Target="https://fraisier.ru/catalog/smesi_dlya_proizvodstva_khleba_i_khlebobulochnyy_izdeliy/smes_izi_tost_2_10_/" TargetMode="External"/><Relationship Id="rId112" Type="http://schemas.openxmlformats.org/officeDocument/2006/relationships/hyperlink" Target="https://fraisier.ru/catalog/smesi_dlya_proizvodstva_khleba_i_khlebobulochnyy_izdeliy/smes_puravita_spaysi_5_25/" TargetMode="External"/><Relationship Id="rId113" Type="http://schemas.openxmlformats.org/officeDocument/2006/relationships/hyperlink" Target="https://fraisier.ru/catalog/smesi_dlya_proizvodstva_khleba_i_khlebobulochnyy_izdeliy/puravita_fayber_50_/" TargetMode="External"/><Relationship Id="rId114" Type="http://schemas.openxmlformats.org/officeDocument/2006/relationships/hyperlink" Target="https://fraisier.ru/catalog/smesi_dlya_proizvodstva_khleba_i_khlebobulochnyy_izdeliy/smes_izi_kartofelnyy_30/" TargetMode="External"/><Relationship Id="rId115" Type="http://schemas.openxmlformats.org/officeDocument/2006/relationships/hyperlink" Target="https://fraisier.ru/catalog/smesi_dlya_proizvodstva_khleba_i_khlebobulochnyy_izdeliy/smes_izi_chiabatta_10_/" TargetMode="External"/><Relationship Id="rId116" Type="http://schemas.openxmlformats.org/officeDocument/2006/relationships/hyperlink" Target="https://fraisier.ru/catalog/smesi_dlya_prigotovleniya_zavarnogo_krema/kremial_vanilla_/" TargetMode="External"/><Relationship Id="rId117" Type="http://schemas.openxmlformats.org/officeDocument/2006/relationships/hyperlink" Target="https://fraisier.ru/catalog/smesi_dlya_prigotovleniya_krema/kremial_shef_chedder/" TargetMode="External"/><Relationship Id="rId118" Type="http://schemas.openxmlformats.org/officeDocument/2006/relationships/hyperlink" Target="https://fraisier.ru/catalog/smesi_dlya_prigotovleniya_zavarnogo_krema/kremigold/" TargetMode="External"/><Relationship Id="rId119" Type="http://schemas.openxmlformats.org/officeDocument/2006/relationships/hyperlink" Target="https://fraisier.ru/catalog/smesi_dlya_prigotovleniya_krema/kremilayt/" TargetMode="External"/><Relationship Id="rId120" Type="http://schemas.openxmlformats.org/officeDocument/2006/relationships/hyperlink" Target="https://fraisier.ru/catalog/smesi_dlya_prigotovleniya_zavarnogo_krema/kremilyuks/" TargetMode="External"/><Relationship Id="rId121" Type="http://schemas.openxmlformats.org/officeDocument/2006/relationships/hyperlink" Target="https://fraisier.ru/catalog/smesi_dlya_prigotovleniya_krema/paloma_bavarua/" TargetMode="External"/><Relationship Id="rId122" Type="http://schemas.openxmlformats.org/officeDocument/2006/relationships/hyperlink" Target="https://fraisier.ru/catalog/smesi_dlya_prigotovleniya_krema/paloma_blanka/" TargetMode="External"/><Relationship Id="rId123" Type="http://schemas.openxmlformats.org/officeDocument/2006/relationships/hyperlink" Target="https://fraisier.ru/catalog/smesi_dlya_prigotovleniya_zavarnogo_krema/smes_sukhaya_molokosoderzhashchaya_kremiko/" TargetMode="External"/><Relationship Id="rId124" Type="http://schemas.openxmlformats.org/officeDocument/2006/relationships/hyperlink" Target="https://fraisier.ru/catalog/fruktovye_nachinki_s_kusochkami/_topfil_abrikos_60_/" TargetMode="External"/><Relationship Id="rId125" Type="http://schemas.openxmlformats.org/officeDocument/2006/relationships/hyperlink" Target="https://fraisier.ru/catalog/kremoobraznye_nachinki_deli/deli_iris/" TargetMode="External"/><Relationship Id="rId126" Type="http://schemas.openxmlformats.org/officeDocument/2006/relationships/hyperlink" Target="https://fraisier.ru/catalog/kremoobraznye_nachinki_deli/deli_yogurt/" TargetMode="External"/><Relationship Id="rId127" Type="http://schemas.openxmlformats.org/officeDocument/2006/relationships/hyperlink" Target="https://fraisier.ru/catalog/kremoobraznye_nachinki_deli/deli_kokos/" TargetMode="External"/><Relationship Id="rId128" Type="http://schemas.openxmlformats.org/officeDocument/2006/relationships/hyperlink" Target="https://fraisier.ru/catalog/kremoobraznye_nachinki_deli/deli_kofe_/" TargetMode="External"/><Relationship Id="rId129" Type="http://schemas.openxmlformats.org/officeDocument/2006/relationships/hyperlink" Target="https://fraisier.ru/catalog/kremoobraznye_nachinki_deli/deli_limon/" TargetMode="External"/><Relationship Id="rId130" Type="http://schemas.openxmlformats.org/officeDocument/2006/relationships/hyperlink" Target="https://fraisier.ru/catalog/kremoobraznye_nachinki_deli/deli_mak_termostabilnaya_makovaya_nachinka_dlya_izdeliy_s_prodlennym_srokom_godnosti/" TargetMode="External"/><Relationship Id="rId131" Type="http://schemas.openxmlformats.org/officeDocument/2006/relationships/hyperlink" Target="https://fraisier.ru/catalog/kremoobraznye_nachinki_deli/deli_martsipan_/" TargetMode="External"/><Relationship Id="rId132" Type="http://schemas.openxmlformats.org/officeDocument/2006/relationships/hyperlink" Target="https://fraisier.ru/catalog/kremoobraznye_nachinki_deli/deli_solenaya_karamel/" TargetMode="External"/><Relationship Id="rId133" Type="http://schemas.openxmlformats.org/officeDocument/2006/relationships/hyperlink" Target="https://fraisier.ru/catalog/kremoobraznye_nachinki_deli/deli_tvorozhnyy_syr/" TargetMode="External"/><Relationship Id="rId134" Type="http://schemas.openxmlformats.org/officeDocument/2006/relationships/hyperlink" Target="https://fraisier.ru/catalog/kremoobraznye_i_fruktovye_netermostabilnye_nachinki/nachinka_koldfil_vanilnyy/" TargetMode="External"/><Relationship Id="rId135" Type="http://schemas.openxmlformats.org/officeDocument/2006/relationships/hyperlink" Target="https://fraisier.ru/catalog/kremoobraznye_i_fruktovye_netermostabilnye_nachinki/nachinka_koldfil_kakao/" TargetMode="External"/><Relationship Id="rId136" Type="http://schemas.openxmlformats.org/officeDocument/2006/relationships/hyperlink" Target="https://fraisier.ru/catalog/kremoobraznye_i_fruktovye_netermostabilnye_nachinki/nachinka_koldfil_karamelnyy/" TargetMode="External"/><Relationship Id="rId137" Type="http://schemas.openxmlformats.org/officeDocument/2006/relationships/hyperlink" Target="https://fraisier.ru/catalog/fruktovye_nachinki_s_kusochkami/topfil_vishnya_80_/" TargetMode="External"/><Relationship Id="rId138" Type="http://schemas.openxmlformats.org/officeDocument/2006/relationships/hyperlink" Target="https://fraisier.ru/catalog/fruktovye_nachinki_s_kusochkami/topfil_grusha_60_/" TargetMode="External"/><Relationship Id="rId139" Type="http://schemas.openxmlformats.org/officeDocument/2006/relationships/hyperlink" Target="https://fraisier.ru/catalog/fruktovye_nachinki_s_kusochkami/topfil_klubnika_60_/" TargetMode="External"/><Relationship Id="rId140" Type="http://schemas.openxmlformats.org/officeDocument/2006/relationships/hyperlink" Target="https://fraisier.ru/catalog/fruktovye_nachinki_s_kusochkami/topfil_mango_60_/" TargetMode="External"/><Relationship Id="rId141" Type="http://schemas.openxmlformats.org/officeDocument/2006/relationships/hyperlink" Target="https://fraisier.ru/catalog/fruktovye_nachinki_s_kusochkami/topfil_sliva_60_/" TargetMode="External"/><Relationship Id="rId142" Type="http://schemas.openxmlformats.org/officeDocument/2006/relationships/hyperlink" Target="https://fraisier.ru/catalog/fruktovye_nachinki_s_kusochkami/topfil_yabloko_60_/" TargetMode="External"/><Relationship Id="rId143" Type="http://schemas.openxmlformats.org/officeDocument/2006/relationships/hyperlink" Target="https://fraisier.ru/catalog/kremoobraznye_nachinki_deli/deli_chizkeyk/" TargetMode="External"/><Relationship Id="rId144" Type="http://schemas.openxmlformats.org/officeDocument/2006/relationships/hyperlink" Target="https://fraisier.ru/catalog/kremoobraznye_nachinki_dlya_izdeliy_s_prodlenym_srokom_khraneniya/kremfil_varenaya_sgushchenka_d/" TargetMode="External"/><Relationship Id="rId145" Type="http://schemas.openxmlformats.org/officeDocument/2006/relationships/hyperlink" Target="https://fraisier.ru/catalog/kremoobraznye_termostabilnye_nachinki/kremfil_yogurtovaya/" TargetMode="External"/><Relationship Id="rId146" Type="http://schemas.openxmlformats.org/officeDocument/2006/relationships/hyperlink" Target="https://fraisier.ru/catalog/kremoobraznye_termostabilnye_nachinki/kremfil_kakao_/" TargetMode="External"/><Relationship Id="rId147" Type="http://schemas.openxmlformats.org/officeDocument/2006/relationships/hyperlink" Target="https://fraisier.ru/catalog/kremoobraznye_termostabilnye_nachinki/kremfil_karamelnaya/" TargetMode="External"/><Relationship Id="rId148" Type="http://schemas.openxmlformats.org/officeDocument/2006/relationships/hyperlink" Target="https://fraisier.ru/catalog/kremoobraznye_termostabilnye_nachinki/kremfil_kokos_/" TargetMode="External"/><Relationship Id="rId149" Type="http://schemas.openxmlformats.org/officeDocument/2006/relationships/hyperlink" Target="https://fraisier.ru/catalog/kremoobraznye_termostabilnye_nachinki/kremfil_limon_/" TargetMode="External"/><Relationship Id="rId150" Type="http://schemas.openxmlformats.org/officeDocument/2006/relationships/hyperlink" Target="https://fraisier.ru/catalog/kremoobraznye_termostabilnye_nachinki/kremfil_s_aromatom_vanili/" TargetMode="External"/><Relationship Id="rId151" Type="http://schemas.openxmlformats.org/officeDocument/2006/relationships/hyperlink" Target="https://fraisier.ru/catalog/kremoobraznye_termostabilnye_nachinki/kremfil_s_tvorozhnym_vkusom_bez_krupinok/" TargetMode="External"/><Relationship Id="rId152" Type="http://schemas.openxmlformats.org/officeDocument/2006/relationships/hyperlink" Target="https://fraisier.ru/catalog/kremoobraznye_nachinki_dlya_izdeliy_s_prodlenym_srokom_khraneniya/kremfil_slivochno_vanilnyy_202_/" TargetMode="External"/><Relationship Id="rId153" Type="http://schemas.openxmlformats.org/officeDocument/2006/relationships/hyperlink" Target="https://fraisier.ru/catalog/kremoobraznye_termostabilnye_nachinki/kremfil_slivochnyy_/" TargetMode="External"/><Relationship Id="rId154" Type="http://schemas.openxmlformats.org/officeDocument/2006/relationships/hyperlink" Target="https://fraisier.ru/catalog/kremoobraznye_termostabilnye_nachinki/kremfil_so_vkusom_banana/" TargetMode="External"/><Relationship Id="rId155" Type="http://schemas.openxmlformats.org/officeDocument/2006/relationships/hyperlink" Target="https://fraisier.ru/catalog/kremoobraznye_termostabilnye_nachinki/kremfil_so_vkusom_klenovogo_siropa/" TargetMode="External"/><Relationship Id="rId156" Type="http://schemas.openxmlformats.org/officeDocument/2006/relationships/hyperlink" Target="https://fraisier.ru/catalog/kremoobraznye_termostabilnye_nachinki/kremfil_so_vkusom_klubniki/" TargetMode="External"/><Relationship Id="rId157" Type="http://schemas.openxmlformats.org/officeDocument/2006/relationships/hyperlink" Target="https://fraisier.ru/catalog/kremoobraznye_termostabilnye_nachinki/kremfil_so_vkusom_klyukvy/" TargetMode="External"/><Relationship Id="rId158" Type="http://schemas.openxmlformats.org/officeDocument/2006/relationships/hyperlink" Target="https://fraisier.ru/catalog/kremoobraznye_termostabilnye_nachinki/kremfil_so_vkusom_lesnykh_yagod/" TargetMode="External"/><Relationship Id="rId159" Type="http://schemas.openxmlformats.org/officeDocument/2006/relationships/hyperlink" Target="https://fraisier.ru/catalog/kremoobraznye_termostabilnye_nachinki/kremfil_so_vkusom_meda/" TargetMode="External"/><Relationship Id="rId160" Type="http://schemas.openxmlformats.org/officeDocument/2006/relationships/hyperlink" Target="https://fraisier.ru/catalog/kremoobraznye_termostabilnye_nachinki/kremfil_so_vkusom_plombira/" TargetMode="External"/><Relationship Id="rId161" Type="http://schemas.openxmlformats.org/officeDocument/2006/relationships/hyperlink" Target="https://fraisier.ru/catalog/kremoobraznye_termostabilnye_nachinki/kremfil_so_vkusom_syra/" TargetMode="External"/><Relationship Id="rId162" Type="http://schemas.openxmlformats.org/officeDocument/2006/relationships/hyperlink" Target="https://fraisier.ru/catalog/kremoobraznye_nachinki_dlya_izdeliy_s_prodlenym_srokom_khraneniya/kremfil_so_vkusom_fistashki_d/" TargetMode="External"/><Relationship Id="rId163" Type="http://schemas.openxmlformats.org/officeDocument/2006/relationships/hyperlink" Target="https://fraisier.ru/catalog/kremoobraznye_termostabilnye_nachinki/kremfil_so_vkusom_yabloka_i_koritsy_/" TargetMode="External"/><Relationship Id="rId164" Type="http://schemas.openxmlformats.org/officeDocument/2006/relationships/hyperlink" Target="https://fraisier.ru/catalog/kremoobraznye_termostabilnye_nachinki/kremfil_tsitron_nachinka_so_vkusom_limona/" TargetMode="External"/><Relationship Id="rId165" Type="http://schemas.openxmlformats.org/officeDocument/2006/relationships/hyperlink" Target="https://fraisier.ru/catalog/kremoobraznye_termostabilnye_nachinki/kremfil_shokoladnaya/" TargetMode="External"/><Relationship Id="rId166" Type="http://schemas.openxmlformats.org/officeDocument/2006/relationships/hyperlink" Target="https://fraisier.ru/catalog/kremoobraznye_nachinki_dlya_izdeliy_s_prodlenym_srokom_khraneniya/kremfil_shokoladnyy_202_/" TargetMode="External"/><Relationship Id="rId167" Type="http://schemas.openxmlformats.org/officeDocument/2006/relationships/hyperlink" Target="https://fraisier.ru/catalog/fruktovye_nachinki_s_kusochkami/nachinka_vivafil_brusnika/" TargetMode="External"/><Relationship Id="rId168" Type="http://schemas.openxmlformats.org/officeDocument/2006/relationships/hyperlink" Target="https://fraisier.ru/catalog/fruktovye_nachinki_s_kusochkami/nachinka_vivafil_vishnya_30/" TargetMode="External"/><Relationship Id="rId169" Type="http://schemas.openxmlformats.org/officeDocument/2006/relationships/hyperlink" Target="https://fraisier.ru/catalog/fruktovye_nachinki_s_kusochkami/nachinka_vivafil_klubnika/" TargetMode="External"/><Relationship Id="rId170" Type="http://schemas.openxmlformats.org/officeDocument/2006/relationships/hyperlink" Target="https://fraisier.ru/catalog/fruktovye_nachinki_s_kusochkami/nachinka_vivafil_limon/" TargetMode="External"/><Relationship Id="rId171" Type="http://schemas.openxmlformats.org/officeDocument/2006/relationships/hyperlink" Target="https://fraisier.ru/catalog/fruktovye_nachinki_s_kusochkami/nachinka_vivafil_malina/" TargetMode="External"/><Relationship Id="rId172" Type="http://schemas.openxmlformats.org/officeDocument/2006/relationships/hyperlink" Target="https://fraisier.ru/catalog/fruktovye_nachinki_s_kusochkami/nachinka_vivafil_chernaya_smorodina/" TargetMode="External"/><Relationship Id="rId173" Type="http://schemas.openxmlformats.org/officeDocument/2006/relationships/hyperlink" Target="https://fraisier.ru/catalog/fruktovye_nachinki_s_kusochkami/nachinka_vivafil_chernika_aroniya/" TargetMode="External"/><Relationship Id="rId174" Type="http://schemas.openxmlformats.org/officeDocument/2006/relationships/hyperlink" Target="https://fraisier.ru/catalog/kremoobraznye_termostabilnye_nachinki_s_naturalnymi_krasitelyami/nachinka_kremfil_neo_vanil/" TargetMode="External"/><Relationship Id="rId175" Type="http://schemas.openxmlformats.org/officeDocument/2006/relationships/hyperlink" Target="https://fraisier.ru/catalog/kremoobraznye_termostabilnye_nachinki_s_naturalnymi_krasitelyami/nachinka_kremfil_neo_lesnoy_orekh/" TargetMode="External"/><Relationship Id="rId176" Type="http://schemas.openxmlformats.org/officeDocument/2006/relationships/hyperlink" Target="https://fraisier.ru/catalog/kremoobraznye_nachinki_kremfil_ultim/nachinka_kremfil_ultim_shokoladno_apelsinovaya/" TargetMode="External"/><Relationship Id="rId177" Type="http://schemas.openxmlformats.org/officeDocument/2006/relationships/hyperlink" Target="https://fraisier.ru/catalog/kremoobraznye_nachinki_kremfil_ultim/nachinka_kremfil_ultim_orekhovaya/" TargetMode="External"/><Relationship Id="rId178" Type="http://schemas.openxmlformats.org/officeDocument/2006/relationships/hyperlink" Target="https://fraisier.ru/catalog/kremoobraznye_nachinki_kremfil_ultim/nachinka_kremfil_ultim_s_temnym_shokoladom/" TargetMode="External"/><Relationship Id="rId179" Type="http://schemas.openxmlformats.org/officeDocument/2006/relationships/hyperlink" Target="https://fraisier.ru/catalog/fruktovye_termostabilnye_nachinki/frutfil_abrikos/" TargetMode="External"/><Relationship Id="rId180" Type="http://schemas.openxmlformats.org/officeDocument/2006/relationships/hyperlink" Target="https://fraisier.ru/catalog/kremoobraznye_nachinki_dlya_izdeliy_s_prodlenym_srokom_khraneniya/frutfil_abrikos_d/" TargetMode="External"/><Relationship Id="rId181" Type="http://schemas.openxmlformats.org/officeDocument/2006/relationships/hyperlink" Target="https://fraisier.ru/catalog/kremoobraznye_nachinki_dlya_izdeliy_s_prodlenym_srokom_khraneniya/frutfil_apelsin_d/" TargetMode="External"/><Relationship Id="rId182" Type="http://schemas.openxmlformats.org/officeDocument/2006/relationships/hyperlink" Target="https://fraisier.ru/catalog/fruktovye_termostabilnye_nachinki/frutfil_vishnya/" TargetMode="External"/><Relationship Id="rId183" Type="http://schemas.openxmlformats.org/officeDocument/2006/relationships/hyperlink" Target="https://fraisier.ru/catalog/fruktovye_termostabilnye_nachinki/frutfil_grusha/" TargetMode="External"/><Relationship Id="rId184" Type="http://schemas.openxmlformats.org/officeDocument/2006/relationships/hyperlink" Target="https://fraisier.ru/catalog/kremoobraznye_nachinki_dlya_izdeliy_s_prodlenym_srokom_khraneniya/frutfil_limon_d_/" TargetMode="External"/><Relationship Id="rId185" Type="http://schemas.openxmlformats.org/officeDocument/2006/relationships/hyperlink" Target="https://fraisier.ru/catalog/fruktovye_termostabilnye_nachinki/frutfil_malina/" TargetMode="External"/><Relationship Id="rId186" Type="http://schemas.openxmlformats.org/officeDocument/2006/relationships/hyperlink" Target="https://fraisier.ru/catalog/kremoobraznye_nachinki_dlya_izdeliy_s_prodlenym_srokom_khraneniya/frutfil_malina_d/" TargetMode="External"/><Relationship Id="rId187" Type="http://schemas.openxmlformats.org/officeDocument/2006/relationships/hyperlink" Target="https://fraisier.ru/catalog/fruktovye_termostabilnye_nachinki/frutfil_mango/" TargetMode="External"/><Relationship Id="rId188" Type="http://schemas.openxmlformats.org/officeDocument/2006/relationships/hyperlink" Target="https://fraisier.ru/catalog/kremoobraznye_nachinki_dlya_izdeliy_s_prodlenym_srokom_khraneniya/frutfil_so_vkusom_vishnya_d/" TargetMode="External"/><Relationship Id="rId189" Type="http://schemas.openxmlformats.org/officeDocument/2006/relationships/hyperlink" Target="https://fraisier.ru/catalog/fruktovye_termostabilnye_nachinki/frutfil_cheremukha_/" TargetMode="External"/><Relationship Id="rId190" Type="http://schemas.openxmlformats.org/officeDocument/2006/relationships/hyperlink" Target="https://fraisier.ru/catalog/kremoobraznye_nachinki_dlya_izdeliy_s_prodlenym_srokom_khraneniya/frutfil_chernaya_smorodina_d/" TargetMode="External"/><Relationship Id="rId191" Type="http://schemas.openxmlformats.org/officeDocument/2006/relationships/hyperlink" Target="https://fraisier.ru/catalog/kremoobraznye_nachinki_dlya_izdeliy_s_prodlenym_srokom_khraneniya/frutfil_chernika_d/" TargetMode="External"/><Relationship Id="rId192" Type="http://schemas.openxmlformats.org/officeDocument/2006/relationships/hyperlink" Target="https://fraisier.ru/catalog/fruktovye_termostabilnye_nachinki/frutfil_chernosliv/" TargetMode="External"/><Relationship Id="rId193" Type="http://schemas.openxmlformats.org/officeDocument/2006/relationships/hyperlink" Target="https://fraisier.ru/catalog/shokoladnye_glazuri_i_zhirovye_nachinki/glazur_karat_dekorkrem_natti/" TargetMode="External"/><Relationship Id="rId194" Type="http://schemas.openxmlformats.org/officeDocument/2006/relationships/hyperlink" Target="https://fraisier.ru/catalog/shokoladnye_glazuri_i_zhirovye_nachinki/glazur_karat_dekorkrem_shoko/" TargetMode="External"/><Relationship Id="rId195" Type="http://schemas.openxmlformats.org/officeDocument/2006/relationships/hyperlink" Target="https://fraisier.ru/catalog/shokoladnye_glazuri_i_zhirovye_nachinki/glazur_karat_superkrem_natti/" TargetMode="External"/><Relationship Id="rId196" Type="http://schemas.openxmlformats.org/officeDocument/2006/relationships/hyperlink" Target="https://fraisier.ru/catalog/shokoladnye_glazuri_i_zhirovye_nachinki/glazur_karat_superkrem_shoko/" TargetMode="External"/><Relationship Id="rId197" Type="http://schemas.openxmlformats.org/officeDocument/2006/relationships/hyperlink" Target="https://fraisier.ru/catalog/funktsionalnye_ingredienty/konservant_i_vlagouderzhivayushchiy_agent_long_fresh/" TargetMode="External"/><Relationship Id="rId198" Type="http://schemas.openxmlformats.org/officeDocument/2006/relationships/hyperlink" Target="https://fraisier.ru/catalog/funktsionalnye_ingredienty/uluchshitel_akti_fresh_ro14_/" TargetMode="External"/><Relationship Id="rId199" Type="http://schemas.openxmlformats.org/officeDocument/2006/relationships/hyperlink" Target="https://fraisier.ru/catalog/funktsionalnye_ingredienty/pasta_dlya_vzbivaniya_poligel/" TargetMode="External"/><Relationship Id="rId200" Type="http://schemas.openxmlformats.org/officeDocument/2006/relationships/hyperlink" Target="https://fraisier.ru/catalog/funktsionalnye_ingredienty/pekarskiy_poroshok_beykin_super/" TargetMode="External"/><Relationship Id="rId201" Type="http://schemas.openxmlformats.org/officeDocument/2006/relationships/hyperlink" Target="https://fraisier.ru/catalog/funktsionalnye_ingredienty/tvs_akti_fresh_py_90_/" TargetMode="External"/><Relationship Id="rId202" Type="http://schemas.openxmlformats.org/officeDocument/2006/relationships/hyperlink" Target="https://fraisier.ru/catalog/tsukaty/tsukaty_apelsin_kubiki_4kh4_mm/" TargetMode="Externa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hyperlink" Target="https://fraisier.ru/catalog/kopiform_kopiform_1/tolstaya_vafelnaya_pishchevaya_bumaga_a4_25_listov/" TargetMode="External"/><Relationship Id="rId3" Type="http://schemas.openxmlformats.org/officeDocument/2006/relationships/hyperlink" Target="https://fraisier.ru/catalog/tonkaya/vafelnaya_tonkaya_pishchevaya_bumaga_a4_25_listov/" TargetMode="External"/><Relationship Id="rId4" Type="http://schemas.openxmlformats.org/officeDocument/2006/relationships/hyperlink" Target="https://fraisier.ru/catalog/sakharnaya_bumaga/sakharnaya_bumaga_a4_decor_paper_plus_25_l_/" TargetMode="External"/><Relationship Id="rId5" Type="http://schemas.openxmlformats.org/officeDocument/2006/relationships/hyperlink" Target="https://fraisier.ru/catalog/shokotransfernaya_bumaga/shokotransfernaya_bumaga_choco_sheets/" TargetMode="External"/><Relationship Id="rId6" Type="http://schemas.openxmlformats.org/officeDocument/2006/relationships/hyperlink" Target="https://fraisier.ru/catalog/promyvochnye_zhidkosti/force_promyvochnaya_zhidkost_dlya_pishchevykh_chernil_printerov/" TargetMode="External"/><Relationship Id="rId7" Type="http://schemas.openxmlformats.org/officeDocument/2006/relationships/hyperlink" Target="https://fraisier.ru/catalog/promyvochnye_zhidkosti/power_promyvochnaya_zhidkost_dlya_detaley_pishchevykh_printerov_kontsentrat/" TargetMode="External"/><Relationship Id="rId8" Type="http://schemas.openxmlformats.org/officeDocument/2006/relationships/hyperlink" Target="https://fraisier.ru/catalog/kenon_canon_1/chernila_pishchevye_dlya_printerov_tipa_kenon_4kh1_l/" TargetMode="External"/><Relationship Id="rId9" Type="http://schemas.openxmlformats.org/officeDocument/2006/relationships/hyperlink" Target="https://fraisier.ru/catalog/kenon_canon_1/chernila_pishchevye_dlya_printerov_tipa_kenon_1_l/" TargetMode="External"/><Relationship Id="rId10" Type="http://schemas.openxmlformats.org/officeDocument/2006/relationships/hyperlink" Target="https://fraisier.ru/catalog/kenon_canon_1/chernila_pishchevye_dlya_printerov_tipa_kenon_100_ml/" TargetMode="External"/><Relationship Id="rId11" Type="http://schemas.openxmlformats.org/officeDocument/2006/relationships/hyperlink" Target="https://fraisier.ru/catalog/kenon_canon_1/chernila_pishchevye_dlya_printerov_tipa_kenon_4kh100_ml/" TargetMode="External"/><Relationship Id="rId12" Type="http://schemas.openxmlformats.org/officeDocument/2006/relationships/hyperlink" Target="https://fraisier.ru/catalog/pechat/pechat_na_vafelnoy_tolstoy_bumage_a4_21_kh_29_7_sm/" TargetMode="External"/><Relationship Id="rId13" Type="http://schemas.openxmlformats.org/officeDocument/2006/relationships/hyperlink" Target="https://fraisier.ru/catalog/pechat/pechat_na_sakharnoy_bumage_a4_21_kh_29_7_s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9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s="1" customFormat="1" customHeight="1">
      <c r="A2" s="3" t="s">
        <v>10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</row>
    <row r="4" spans="1:10" ht="23" customHeight="1">
      <c r="A4" s="4" t="s">
        <v>12</v>
      </c>
      <c r="B4" s="4" t="s">
        <v>13</v>
      </c>
      <c r="C4" s="4"/>
      <c r="D4" s="5" t="s">
        <v>14</v>
      </c>
      <c r="E4" s="4"/>
      <c r="F4" t="s">
        <v>15</v>
      </c>
      <c r="G4" s="6" t="s">
        <v>16</v>
      </c>
      <c r="H4" s="6" t="s">
        <v>17</v>
      </c>
      <c r="I4" s="4"/>
      <c r="J4" s="6">
        <f>IF(I4&gt;0,PRODUCT(35,I4),"")</f>
      </c>
    </row>
    <row r="5" spans="1:10" ht="23" customHeight="1">
      <c r="A5" s="4"/>
      <c r="B5" s="4"/>
      <c r="C5" s="4"/>
      <c r="D5" s="7"/>
      <c r="E5" s="4"/>
      <c r="F5"/>
      <c r="G5" s="6" t="s">
        <v>18</v>
      </c>
      <c r="H5" s="6" t="s">
        <v>19</v>
      </c>
      <c r="I5" s="4"/>
      <c r="J5" s="6">
        <f>IF(I5&gt;0,PRODUCT(300,I5),"")</f>
      </c>
    </row>
    <row r="6" spans="1:10" ht="23" customHeight="1">
      <c r="A6" s="4"/>
      <c r="B6" s="4"/>
      <c r="C6" s="4"/>
      <c r="D6" s="7"/>
      <c r="E6" s="4"/>
      <c r="F6"/>
      <c r="G6" s="6" t="s">
        <v>20</v>
      </c>
      <c r="H6" s="6" t="s">
        <v>21</v>
      </c>
      <c r="I6" s="4"/>
      <c r="J6" s="6">
        <f>IF(I6&gt;0,PRODUCT(2395,I6),"")</f>
      </c>
    </row>
    <row r="7" spans="1:10" ht="23" customHeight="1">
      <c r="A7" s="4"/>
      <c r="B7" s="4"/>
      <c r="C7" s="4"/>
      <c r="D7" s="7"/>
      <c r="E7" s="4"/>
      <c r="F7"/>
      <c r="G7" s="6" t="s">
        <v>22</v>
      </c>
      <c r="H7" s="6" t="s">
        <v>23</v>
      </c>
      <c r="I7" s="4"/>
      <c r="J7" s="6">
        <f>IF(I7&gt;0,PRODUCT(1000,I7),"")</f>
      </c>
    </row>
    <row r="8" spans="1:10" ht="23" customHeight="1">
      <c r="A8" s="4" t="s">
        <v>24</v>
      </c>
      <c r="B8" s="4" t="s">
        <v>25</v>
      </c>
      <c r="C8" s="4"/>
      <c r="D8" s="5" t="s">
        <v>26</v>
      </c>
      <c r="E8" s="4"/>
      <c r="F8" t="s">
        <v>27</v>
      </c>
      <c r="G8" s="6" t="s">
        <v>28</v>
      </c>
      <c r="H8" s="6" t="s">
        <v>29</v>
      </c>
      <c r="I8" s="4"/>
      <c r="J8" s="6">
        <f>IF(I8&gt;0,PRODUCT(30,I8),"")</f>
      </c>
    </row>
    <row r="9" spans="1:10" ht="23" customHeight="1">
      <c r="A9" s="4"/>
      <c r="B9" s="4"/>
      <c r="C9" s="4"/>
      <c r="D9" s="7"/>
      <c r="E9" s="4"/>
      <c r="F9"/>
      <c r="G9" s="6" t="s">
        <v>30</v>
      </c>
      <c r="H9" s="6" t="s">
        <v>31</v>
      </c>
      <c r="I9" s="4"/>
      <c r="J9" s="6">
        <f>IF(I9&gt;0,PRODUCT(250,I9),"")</f>
      </c>
    </row>
    <row r="10" spans="1:10" ht="23" customHeight="1">
      <c r="A10" s="4"/>
      <c r="B10" s="4"/>
      <c r="C10" s="4"/>
      <c r="D10" s="7"/>
      <c r="E10" s="4"/>
      <c r="F10"/>
      <c r="G10" s="6" t="s">
        <v>32</v>
      </c>
      <c r="H10" s="6" t="s">
        <v>33</v>
      </c>
      <c r="I10" s="4"/>
      <c r="J10" s="6">
        <f>IF(I10&gt;0,PRODUCT(1800,I10),"")</f>
      </c>
    </row>
    <row r="11" spans="1:10" ht="23" customHeight="1">
      <c r="A11" s="4"/>
      <c r="B11" s="4"/>
      <c r="C11" s="4"/>
      <c r="D11" s="7"/>
      <c r="E11" s="4"/>
      <c r="F11"/>
      <c r="G11" s="6" t="s">
        <v>34</v>
      </c>
      <c r="H11" s="6" t="s">
        <v>35</v>
      </c>
      <c r="I11" s="4"/>
      <c r="J11" s="6">
        <f>IF(I11&gt;0,PRODUCT(800,I11),"")</f>
      </c>
    </row>
    <row r="12" spans="1:10" s="1" customFormat="1" customHeight="1">
      <c r="A12" s="3" t="s">
        <v>36</v>
      </c>
      <c r="B12" s="3"/>
      <c r="C12" s="3"/>
      <c r="D12" s="3"/>
      <c r="E12" s="3"/>
      <c r="F12" s="3"/>
      <c r="G12" s="3"/>
      <c r="H12" s="3"/>
      <c r="I12" s="3"/>
      <c r="J12" s="3"/>
    </row>
    <row r="13" spans="1:10" ht="45.5" customHeight="1">
      <c r="A13" s="4" t="s">
        <v>37</v>
      </c>
      <c r="B13" s="4" t="s">
        <v>38</v>
      </c>
      <c r="C13" s="4"/>
      <c r="D13" s="5" t="s">
        <v>39</v>
      </c>
      <c r="E13" s="4" t="s">
        <v>40</v>
      </c>
      <c r="F13"/>
      <c r="G13" s="6" t="s">
        <v>41</v>
      </c>
      <c r="H13" s="6" t="s">
        <v>42</v>
      </c>
      <c r="I13" s="4"/>
      <c r="J13" s="6">
        <f>IF(I13&gt;0,PRODUCT(1000,I13),"")</f>
      </c>
    </row>
    <row r="14" spans="1:10" ht="45.5" customHeight="1">
      <c r="A14" s="4"/>
      <c r="B14" s="4"/>
      <c r="C14" s="4"/>
      <c r="D14" s="7"/>
      <c r="E14" s="4"/>
      <c r="F14"/>
      <c r="G14" s="6" t="s">
        <v>43</v>
      </c>
      <c r="H14" s="6" t="s">
        <v>44</v>
      </c>
      <c r="I14" s="4"/>
      <c r="J14" s="6">
        <f>IF(I14&gt;0,PRODUCT(1910,I14),"")</f>
      </c>
    </row>
    <row r="15" spans="1:10" ht="36" customHeight="1">
      <c r="A15" s="4" t="s">
        <v>45</v>
      </c>
      <c r="B15" s="4" t="s">
        <v>46</v>
      </c>
      <c r="C15" s="4"/>
      <c r="D15" s="5" t="s">
        <v>47</v>
      </c>
      <c r="E15" s="4"/>
      <c r="F15"/>
      <c r="G15" s="6" t="s">
        <v>48</v>
      </c>
      <c r="H15" s="6" t="s">
        <v>49</v>
      </c>
      <c r="I15" s="4"/>
      <c r="J15" s="6">
        <f>IF(I15&gt;0,PRODUCT(890,I15),"")</f>
      </c>
    </row>
    <row r="16" spans="1:10" ht="36.4" customHeight="1">
      <c r="A16" s="4"/>
      <c r="B16" s="4"/>
      <c r="C16" s="4"/>
      <c r="D16" s="7"/>
      <c r="E16" s="4"/>
      <c r="F16"/>
      <c r="G16" s="6" t="s">
        <v>50</v>
      </c>
      <c r="H16" s="6" t="s">
        <v>51</v>
      </c>
      <c r="I16" s="4"/>
      <c r="J16" s="6">
        <f>IF(I16&gt;0,PRODUCT(940,I16),"")</f>
      </c>
    </row>
    <row r="17" spans="1:10" s="8" customFormat="1" customHeight="1">
      <c r="A17" s="9">
        <f>CONCATENATE("Общая сумма: ",SUM(K2:K8)," руб.")</f>
      </c>
      <c r="B17" s="9"/>
      <c r="C17" s="9"/>
      <c r="D17" s="9"/>
      <c r="E17" s="9"/>
      <c r="F17" s="9"/>
      <c r="G17" s="9"/>
      <c r="H17" s="9"/>
      <c r="I17" s="9"/>
      <c r="J17" s="9"/>
    </row>
  </sheetData>
  <sheetProtection formatCells="0" formatColumns="0" formatRows="0" insertColumns="0" insertRows="0" insertHyperlinks="0" deleteColumns="0" deleteRows="0" sort="0" autoFilter="0" pivotTables="0"/>
  <mergeCells count="28">
    <mergeCell ref="A2:J2"/>
    <mergeCell ref="A3:J3"/>
    <mergeCell ref="A4:A7"/>
    <mergeCell ref="B4:B7"/>
    <mergeCell ref="C4:C7"/>
    <mergeCell ref="D4:D7"/>
    <mergeCell ref="E4:E7"/>
    <mergeCell ref="F4:F7"/>
    <mergeCell ref="A8:A11"/>
    <mergeCell ref="B8:B11"/>
    <mergeCell ref="C8:C11"/>
    <mergeCell ref="D8:D11"/>
    <mergeCell ref="E8:E11"/>
    <mergeCell ref="F8:F11"/>
    <mergeCell ref="A12:J12"/>
    <mergeCell ref="A13:A14"/>
    <mergeCell ref="B13:B14"/>
    <mergeCell ref="C13:C14"/>
    <mergeCell ref="D13:D14"/>
    <mergeCell ref="E13:E14"/>
    <mergeCell ref="F13:F14"/>
    <mergeCell ref="A15:A16"/>
    <mergeCell ref="B15:B16"/>
    <mergeCell ref="C15:C16"/>
    <mergeCell ref="D15:D16"/>
    <mergeCell ref="E15:E16"/>
    <mergeCell ref="F15:F16"/>
    <mergeCell ref="A17:J17"/>
  </mergeCells>
  <hyperlinks>
    <hyperlink ref="D4" r:id="rId2"/>
    <hyperlink ref="D8" r:id="rId3"/>
    <hyperlink ref="D13" r:id="rId4"/>
    <hyperlink ref="D15" r:id="rId5"/>
  </hyperlinks>
  <pageMargins left="0.7" right="0.7" top="0.75" bottom="0.75" header="0.3" footer="0.3"/>
  <pageSetup orientation="portrait"/>
  <headerFooter alignWithMargins="0"/>
  <ignoredErrors>
    <ignoredError sqref="A1:J1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41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52</v>
      </c>
      <c r="B1" s="3" t="s">
        <v>53</v>
      </c>
      <c r="C1" s="3" t="s">
        <v>54</v>
      </c>
      <c r="D1" s="3" t="s">
        <v>55</v>
      </c>
      <c r="E1" s="3" t="s">
        <v>56</v>
      </c>
      <c r="F1" s="3" t="s">
        <v>57</v>
      </c>
      <c r="G1" s="3" t="s">
        <v>58</v>
      </c>
      <c r="H1" s="3" t="s">
        <v>59</v>
      </c>
      <c r="I1" s="3" t="s">
        <v>60</v>
      </c>
      <c r="J1" s="3" t="s">
        <v>61</v>
      </c>
    </row>
    <row r="2" spans="1:10" s="1" customFormat="1" customHeight="1">
      <c r="A2" s="3" t="s">
        <v>62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63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64</v>
      </c>
      <c r="B4" s="3"/>
      <c r="C4" s="3"/>
      <c r="D4" s="3"/>
      <c r="E4" s="3"/>
      <c r="F4" s="3"/>
      <c r="G4" s="3"/>
      <c r="H4" s="3"/>
      <c r="I4" s="3"/>
      <c r="J4" s="3"/>
    </row>
    <row r="5" spans="1:10" ht="15" customHeight="1">
      <c r="A5" s="4" t="s">
        <v>65</v>
      </c>
      <c r="B5" s="4"/>
      <c r="C5" s="4"/>
      <c r="D5" s="5" t="s">
        <v>66</v>
      </c>
      <c r="E5" s="4" t="s">
        <v>67</v>
      </c>
      <c r="F5"/>
      <c r="G5" s="6" t="s">
        <v>68</v>
      </c>
      <c r="H5" s="6" t="s">
        <v>69</v>
      </c>
      <c r="I5" s="4"/>
      <c r="J5" s="6">
        <f>IF(I5&gt;0,PRODUCT(990,I5),"")</f>
      </c>
    </row>
    <row r="6" spans="1:10" ht="15" customHeight="1">
      <c r="A6" s="4"/>
      <c r="B6" s="4"/>
      <c r="C6" s="4"/>
      <c r="D6" s="7"/>
      <c r="E6" s="4"/>
      <c r="F6"/>
      <c r="G6" s="6" t="s">
        <v>70</v>
      </c>
      <c r="H6" s="6" t="s">
        <v>71</v>
      </c>
      <c r="I6" s="4"/>
      <c r="J6" s="6">
        <f>IF(I6&gt;0,PRODUCT(9855,I6),"")</f>
      </c>
    </row>
    <row r="7" spans="1:10" ht="15" customHeight="1">
      <c r="A7" s="4"/>
      <c r="B7" s="4"/>
      <c r="C7" s="4"/>
      <c r="D7" s="7"/>
      <c r="E7" s="4"/>
      <c r="F7"/>
      <c r="G7" s="6" t="s">
        <v>72</v>
      </c>
      <c r="H7" s="6" t="s">
        <v>73</v>
      </c>
      <c r="I7" s="4"/>
      <c r="J7" s="6">
        <f>IF(I7&gt;0,PRODUCT(215,I7),"")</f>
      </c>
    </row>
    <row r="8" spans="1:10" ht="15" customHeight="1">
      <c r="A8" s="4"/>
      <c r="B8" s="4"/>
      <c r="C8" s="4"/>
      <c r="D8" s="7"/>
      <c r="E8" s="4"/>
      <c r="F8"/>
      <c r="G8" s="6" t="s">
        <v>74</v>
      </c>
      <c r="H8" s="6" t="s">
        <v>75</v>
      </c>
      <c r="I8" s="4"/>
      <c r="J8" s="6">
        <f>IF(I8&gt;0,PRODUCT(23460,I8),"")</f>
      </c>
    </row>
    <row r="9" spans="1:10" ht="15" customHeight="1">
      <c r="A9" s="4"/>
      <c r="B9" s="4"/>
      <c r="C9" s="4"/>
      <c r="D9" s="7"/>
      <c r="E9" s="4"/>
      <c r="F9"/>
      <c r="G9" s="6" t="s">
        <v>76</v>
      </c>
      <c r="H9" s="6" t="s">
        <v>77</v>
      </c>
      <c r="I9" s="4"/>
      <c r="J9" s="6">
        <f>IF(I9&gt;0,PRODUCT(5365,I9),"")</f>
      </c>
    </row>
    <row r="10" spans="1:10" ht="16" customHeight="1">
      <c r="A10" s="4"/>
      <c r="B10" s="4"/>
      <c r="C10" s="4"/>
      <c r="D10" s="7"/>
      <c r="E10" s="4"/>
      <c r="F10"/>
      <c r="G10" s="6" t="s">
        <v>78</v>
      </c>
      <c r="H10" s="6" t="s">
        <v>79</v>
      </c>
      <c r="I10" s="4"/>
      <c r="J10" s="6">
        <f>IF(I10&gt;0,PRODUCT(565,I10),"")</f>
      </c>
    </row>
    <row r="11" spans="1:10" s="1" customFormat="1" customHeight="1">
      <c r="A11" s="3" t="s">
        <v>80</v>
      </c>
      <c r="B11" s="3"/>
      <c r="C11" s="3"/>
      <c r="D11" s="3"/>
      <c r="E11" s="3"/>
      <c r="F11" s="3"/>
      <c r="G11" s="3"/>
      <c r="H11" s="3"/>
      <c r="I11" s="3"/>
      <c r="J11" s="3"/>
    </row>
    <row r="12" spans="1:10" s="1" customFormat="1" customHeight="1">
      <c r="A12" s="3" t="s">
        <v>81</v>
      </c>
      <c r="B12" s="3"/>
      <c r="C12" s="3"/>
      <c r="D12" s="3"/>
      <c r="E12" s="3"/>
      <c r="F12" s="3"/>
      <c r="G12" s="3"/>
      <c r="H12" s="3"/>
      <c r="I12" s="3"/>
      <c r="J12" s="3"/>
    </row>
    <row r="13" spans="1:10" customHeight="1">
      <c r="A13" s="4" t="s">
        <v>82</v>
      </c>
      <c r="B13" s="4" t="s">
        <v>83</v>
      </c>
      <c r="C13" s="4"/>
      <c r="D13" s="5" t="s">
        <v>84</v>
      </c>
      <c r="E13" s="4" t="s">
        <v>85</v>
      </c>
      <c r="F13" t="s">
        <v>86</v>
      </c>
      <c r="G13" s="6" t="s">
        <v>87</v>
      </c>
      <c r="H13" s="6" t="s">
        <v>88</v>
      </c>
      <c r="I13" s="4"/>
      <c r="J13" s="6">
        <f>IF(I13&gt;0,PRODUCT(460,I13),"")</f>
      </c>
    </row>
    <row r="14" spans="1:10" customHeight="1">
      <c r="A14" s="4"/>
      <c r="B14" s="4"/>
      <c r="C14" s="4"/>
      <c r="D14" s="7"/>
      <c r="E14" s="4"/>
      <c r="F14"/>
      <c r="G14" s="6" t="s">
        <v>89</v>
      </c>
      <c r="H14" s="6" t="s">
        <v>90</v>
      </c>
      <c r="I14" s="4"/>
      <c r="J14" s="6">
        <f>IF(I14&gt;0,PRODUCT(3370,I14),"")</f>
      </c>
    </row>
    <row r="15" spans="1:10" customHeight="1">
      <c r="A15" s="4"/>
      <c r="B15" s="4"/>
      <c r="C15" s="4"/>
      <c r="D15" s="7"/>
      <c r="E15" s="4"/>
      <c r="F15"/>
      <c r="G15" s="6" t="s">
        <v>91</v>
      </c>
      <c r="H15" s="6" t="s">
        <v>92</v>
      </c>
      <c r="I15" s="4"/>
      <c r="J15" s="6">
        <f>IF(I15&gt;0,PRODUCT(29900,I15),"")</f>
      </c>
    </row>
    <row r="16" spans="1:10" customHeight="1">
      <c r="A16" s="4"/>
      <c r="B16" s="4"/>
      <c r="C16" s="4"/>
      <c r="D16" s="7"/>
      <c r="E16" s="4"/>
      <c r="F16"/>
      <c r="G16" s="6" t="s">
        <v>93</v>
      </c>
      <c r="H16" s="6" t="s">
        <v>94</v>
      </c>
      <c r="I16" s="4"/>
      <c r="J16" s="6">
        <f>IF(I16&gt;0,PRODUCT(630,I16),"")</f>
      </c>
    </row>
    <row r="17" spans="1:10" customHeight="1">
      <c r="A17" s="4"/>
      <c r="B17" s="4"/>
      <c r="C17" s="4"/>
      <c r="D17" s="7"/>
      <c r="E17" s="4"/>
      <c r="F17"/>
      <c r="G17" s="6" t="s">
        <v>95</v>
      </c>
      <c r="H17" s="6" t="s">
        <v>96</v>
      </c>
      <c r="I17" s="4"/>
      <c r="J17" s="6">
        <f>IF(I17&gt;0,PRODUCT(15300,I17),"")</f>
      </c>
    </row>
    <row r="18" spans="1:10" customHeight="1">
      <c r="A18" s="4"/>
      <c r="B18" s="4"/>
      <c r="C18" s="4"/>
      <c r="D18" s="7"/>
      <c r="E18" s="4"/>
      <c r="F18"/>
      <c r="G18" s="6" t="s">
        <v>97</v>
      </c>
      <c r="H18" s="6" t="s">
        <v>98</v>
      </c>
      <c r="I18" s="4"/>
      <c r="J18" s="6">
        <f>IF(I18&gt;0,PRODUCT(330,I18),"")</f>
      </c>
    </row>
    <row r="19" spans="1:10" customHeight="1">
      <c r="A19" s="4"/>
      <c r="B19" s="4"/>
      <c r="C19" s="4"/>
      <c r="D19" s="7"/>
      <c r="E19" s="4"/>
      <c r="F19"/>
      <c r="G19" s="6" t="s">
        <v>99</v>
      </c>
      <c r="H19" s="6" t="s">
        <v>100</v>
      </c>
      <c r="I19" s="4"/>
      <c r="J19" s="6">
        <f>IF(I19&gt;0,PRODUCT(1950,I19),"")</f>
      </c>
    </row>
    <row r="20" spans="1:10" customHeight="1">
      <c r="A20" s="4"/>
      <c r="B20" s="4"/>
      <c r="C20" s="4"/>
      <c r="D20" s="7"/>
      <c r="E20" s="4"/>
      <c r="F20"/>
      <c r="G20" s="6" t="s">
        <v>101</v>
      </c>
      <c r="H20" s="6" t="s">
        <v>102</v>
      </c>
      <c r="I20" s="4"/>
      <c r="J20" s="6">
        <f>IF(I20&gt;0,PRODUCT(69105,I20),"")</f>
      </c>
    </row>
    <row r="21" spans="1:10" s="1" customFormat="1" customHeight="1">
      <c r="A21" s="3" t="s">
        <v>103</v>
      </c>
      <c r="B21" s="3"/>
      <c r="C21" s="3"/>
      <c r="D21" s="3"/>
      <c r="E21" s="3"/>
      <c r="F21" s="3"/>
      <c r="G21" s="3"/>
      <c r="H21" s="3"/>
      <c r="I21" s="3"/>
      <c r="J21" s="3"/>
    </row>
    <row r="22" spans="1:10" ht="91" customHeight="1">
      <c r="A22" s="4" t="s">
        <v>104</v>
      </c>
      <c r="B22" s="4"/>
      <c r="C22" s="4"/>
      <c r="D22" s="5" t="s">
        <v>105</v>
      </c>
      <c r="E22" s="4" t="s">
        <v>106</v>
      </c>
      <c r="F22"/>
      <c r="G22" s="6" t="s">
        <v>107</v>
      </c>
      <c r="H22" s="6" t="s">
        <v>108</v>
      </c>
      <c r="I22" s="4"/>
      <c r="J22" s="6">
        <f>IF(I22&gt;0,PRODUCT(50365,I22),"")</f>
      </c>
    </row>
    <row r="23" spans="1:10" ht="60.4" customHeight="1">
      <c r="A23" s="4" t="s">
        <v>109</v>
      </c>
      <c r="B23" s="4"/>
      <c r="C23" s="4"/>
      <c r="D23" s="5" t="s">
        <v>110</v>
      </c>
      <c r="E23" s="4" t="s">
        <v>111</v>
      </c>
      <c r="F23"/>
      <c r="G23" s="6" t="s">
        <v>112</v>
      </c>
      <c r="H23" s="6" t="s">
        <v>113</v>
      </c>
      <c r="I23" s="4"/>
      <c r="J23" s="6">
        <f>IF(I23&gt;0,PRODUCT(52250,I23),"")</f>
      </c>
    </row>
    <row r="24" spans="1:10" ht="68.8" customHeight="1">
      <c r="A24" s="4" t="s">
        <v>114</v>
      </c>
      <c r="B24" s="4"/>
      <c r="C24" s="4"/>
      <c r="D24" s="5" t="s">
        <v>115</v>
      </c>
      <c r="E24" s="4" t="s">
        <v>116</v>
      </c>
      <c r="F24"/>
      <c r="G24" s="6" t="s">
        <v>117</v>
      </c>
      <c r="H24" s="6" t="s">
        <v>118</v>
      </c>
      <c r="I24" s="4"/>
      <c r="J24" s="6">
        <f>IF(I24&gt;0,PRODUCT(67070,I24),"")</f>
      </c>
    </row>
    <row r="25" spans="1:10" ht="68.8" customHeight="1">
      <c r="A25" s="4" t="s">
        <v>119</v>
      </c>
      <c r="B25" s="4"/>
      <c r="C25" s="4"/>
      <c r="D25" s="5" t="s">
        <v>120</v>
      </c>
      <c r="E25" s="4" t="s">
        <v>121</v>
      </c>
      <c r="F25"/>
      <c r="G25" s="6" t="s">
        <v>122</v>
      </c>
      <c r="H25" s="6" t="s">
        <v>123</v>
      </c>
      <c r="I25" s="4"/>
      <c r="J25" s="6">
        <f>IF(I25&gt;0,PRODUCT(59825,I25),"")</f>
      </c>
    </row>
    <row r="26" spans="1:10" ht="91" customHeight="1">
      <c r="A26" s="4" t="s">
        <v>124</v>
      </c>
      <c r="B26" s="4" t="s">
        <v>125</v>
      </c>
      <c r="C26" s="4"/>
      <c r="D26" s="5" t="s">
        <v>126</v>
      </c>
      <c r="E26" s="4"/>
      <c r="F26" t="s">
        <v>127</v>
      </c>
      <c r="G26" s="6" t="s">
        <v>128</v>
      </c>
      <c r="H26" s="6" t="s">
        <v>129</v>
      </c>
      <c r="I26" s="4"/>
      <c r="J26" s="6">
        <f>IF(I26&gt;0,PRODUCT(55050,I26),"")</f>
      </c>
    </row>
    <row r="27" spans="1:10" ht="23" customHeight="1">
      <c r="A27" s="4" t="s">
        <v>130</v>
      </c>
      <c r="B27" s="4"/>
      <c r="C27" s="4"/>
      <c r="D27" s="5" t="s">
        <v>131</v>
      </c>
      <c r="E27" s="4" t="s">
        <v>132</v>
      </c>
      <c r="F27"/>
      <c r="G27" s="6" t="s">
        <v>133</v>
      </c>
      <c r="H27" s="6" t="s">
        <v>134</v>
      </c>
      <c r="I27" s="4"/>
      <c r="J27" s="6">
        <f>IF(I27&gt;0,PRODUCT(3450,I27),"")</f>
      </c>
    </row>
    <row r="28" spans="1:10" ht="23" customHeight="1">
      <c r="A28" s="4"/>
      <c r="B28" s="4"/>
      <c r="C28" s="4"/>
      <c r="D28" s="7"/>
      <c r="E28" s="4"/>
      <c r="F28"/>
      <c r="G28" s="6" t="s">
        <v>135</v>
      </c>
      <c r="H28" s="6" t="s">
        <v>136</v>
      </c>
      <c r="I28" s="4"/>
      <c r="J28" s="6">
        <f>IF(I28&gt;0,PRODUCT(440,I28),"")</f>
      </c>
    </row>
    <row r="29" spans="1:10" ht="23" customHeight="1">
      <c r="A29" s="4"/>
      <c r="B29" s="4"/>
      <c r="C29" s="4"/>
      <c r="D29" s="7"/>
      <c r="E29" s="4"/>
      <c r="F29"/>
      <c r="G29" s="6" t="s">
        <v>137</v>
      </c>
      <c r="H29" s="6" t="s">
        <v>138</v>
      </c>
      <c r="I29" s="4"/>
      <c r="J29" s="6">
        <f>IF(I29&gt;0,PRODUCT(16480,I29),"")</f>
      </c>
    </row>
    <row r="30" spans="1:10" ht="23" customHeight="1">
      <c r="A30" s="4"/>
      <c r="B30" s="4"/>
      <c r="C30" s="4"/>
      <c r="D30" s="7"/>
      <c r="E30" s="4"/>
      <c r="F30"/>
      <c r="G30" s="6" t="s">
        <v>139</v>
      </c>
      <c r="H30" s="6" t="s">
        <v>140</v>
      </c>
      <c r="I30" s="4"/>
      <c r="J30" s="6">
        <f>IF(I30&gt;0,PRODUCT(1875,I30),"")</f>
      </c>
    </row>
    <row r="31" spans="1:10" ht="17" customHeight="1">
      <c r="A31" s="4" t="s">
        <v>141</v>
      </c>
      <c r="B31" s="4" t="s">
        <v>142</v>
      </c>
      <c r="C31" s="4"/>
      <c r="D31" s="5" t="s">
        <v>143</v>
      </c>
      <c r="E31" s="4" t="s">
        <v>144</v>
      </c>
      <c r="F31"/>
      <c r="G31" s="6" t="s">
        <v>145</v>
      </c>
      <c r="H31" s="6" t="s">
        <v>146</v>
      </c>
      <c r="I31" s="4"/>
      <c r="J31" s="6">
        <f>IF(I31&gt;0,PRODUCT(3450,I31),"")</f>
      </c>
    </row>
    <row r="32" spans="1:10" ht="17" customHeight="1">
      <c r="A32" s="4"/>
      <c r="B32" s="4"/>
      <c r="C32" s="4"/>
      <c r="D32" s="7"/>
      <c r="E32" s="4"/>
      <c r="F32"/>
      <c r="G32" s="6" t="s">
        <v>147</v>
      </c>
      <c r="H32" s="6" t="s">
        <v>148</v>
      </c>
      <c r="I32" s="4"/>
      <c r="J32" s="6">
        <f>IF(I32&gt;0,PRODUCT(440,I32),"")</f>
      </c>
    </row>
    <row r="33" spans="1:10" ht="17" customHeight="1">
      <c r="A33" s="4"/>
      <c r="B33" s="4"/>
      <c r="C33" s="4"/>
      <c r="D33" s="7"/>
      <c r="E33" s="4"/>
      <c r="F33"/>
      <c r="G33" s="6" t="s">
        <v>149</v>
      </c>
      <c r="H33" s="6" t="s">
        <v>150</v>
      </c>
      <c r="I33" s="4"/>
      <c r="J33" s="6">
        <f>IF(I33&gt;0,PRODUCT(16480,I33),"")</f>
      </c>
    </row>
    <row r="34" spans="1:10" ht="17.8" customHeight="1">
      <c r="A34" s="4"/>
      <c r="B34" s="4"/>
      <c r="C34" s="4"/>
      <c r="D34" s="7"/>
      <c r="E34" s="4"/>
      <c r="F34"/>
      <c r="G34" s="6" t="s">
        <v>151</v>
      </c>
      <c r="H34" s="6" t="s">
        <v>152</v>
      </c>
      <c r="I34" s="4"/>
      <c r="J34" s="6">
        <f>IF(I34&gt;0,PRODUCT(1875,I34),"")</f>
      </c>
    </row>
    <row r="35" spans="1:10" ht="16" customHeight="1">
      <c r="A35" s="4" t="s">
        <v>153</v>
      </c>
      <c r="B35" s="4"/>
      <c r="C35" s="4"/>
      <c r="D35" s="5" t="s">
        <v>154</v>
      </c>
      <c r="E35" s="4" t="s">
        <v>155</v>
      </c>
      <c r="F35"/>
      <c r="G35" s="6" t="s">
        <v>156</v>
      </c>
      <c r="H35" s="6" t="s">
        <v>157</v>
      </c>
      <c r="I35" s="4"/>
      <c r="J35" s="6">
        <f>IF(I35&gt;0,PRODUCT(3400,I35),"")</f>
      </c>
    </row>
    <row r="36" spans="1:10" ht="16" customHeight="1">
      <c r="A36" s="4"/>
      <c r="B36" s="4"/>
      <c r="C36" s="4"/>
      <c r="D36" s="7"/>
      <c r="E36" s="4"/>
      <c r="F36"/>
      <c r="G36" s="6" t="s">
        <v>158</v>
      </c>
      <c r="H36" s="6" t="s">
        <v>159</v>
      </c>
      <c r="I36" s="4"/>
      <c r="J36" s="6">
        <f>IF(I36&gt;0,PRODUCT(435,I36),"")</f>
      </c>
    </row>
    <row r="37" spans="1:10" ht="16" customHeight="1">
      <c r="A37" s="4"/>
      <c r="B37" s="4"/>
      <c r="C37" s="4"/>
      <c r="D37" s="7"/>
      <c r="E37" s="4"/>
      <c r="F37"/>
      <c r="G37" s="6" t="s">
        <v>160</v>
      </c>
      <c r="H37" s="6" t="s">
        <v>161</v>
      </c>
      <c r="I37" s="4"/>
      <c r="J37" s="6">
        <f>IF(I37&gt;0,PRODUCT(16250,I37),"")</f>
      </c>
    </row>
    <row r="38" spans="1:10" ht="16" customHeight="1">
      <c r="A38" s="4"/>
      <c r="B38" s="4"/>
      <c r="C38" s="4"/>
      <c r="D38" s="7"/>
      <c r="E38" s="4"/>
      <c r="F38"/>
      <c r="G38" s="6" t="s">
        <v>162</v>
      </c>
      <c r="H38" s="6" t="s">
        <v>163</v>
      </c>
      <c r="I38" s="4"/>
      <c r="J38" s="6">
        <f>IF(I38&gt;0,PRODUCT(1850,I38),"")</f>
      </c>
    </row>
    <row r="39" spans="1:10" s="1" customFormat="1" customHeight="1">
      <c r="A39" s="3" t="s">
        <v>164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ht="23" customHeight="1">
      <c r="A40" s="4" t="s">
        <v>165</v>
      </c>
      <c r="B40" s="4"/>
      <c r="C40" s="4"/>
      <c r="D40" s="5" t="s">
        <v>166</v>
      </c>
      <c r="E40" s="4" t="s">
        <v>167</v>
      </c>
      <c r="F40"/>
      <c r="G40" s="6" t="s">
        <v>168</v>
      </c>
      <c r="H40" s="6" t="s">
        <v>169</v>
      </c>
      <c r="I40" s="4"/>
      <c r="J40" s="6">
        <f>IF(I40&gt;0,PRODUCT(990,I40),"")</f>
      </c>
    </row>
    <row r="41" spans="1:10" ht="23" customHeight="1">
      <c r="A41" s="4"/>
      <c r="B41" s="4"/>
      <c r="C41" s="4"/>
      <c r="D41" s="7"/>
      <c r="E41" s="4"/>
      <c r="F41"/>
      <c r="G41" s="6" t="s">
        <v>170</v>
      </c>
      <c r="H41" s="6" t="s">
        <v>171</v>
      </c>
      <c r="I41" s="4"/>
      <c r="J41" s="6">
        <f>IF(I41&gt;0,PRODUCT(7825,I41),"")</f>
      </c>
    </row>
    <row r="42" spans="1:10" ht="23" customHeight="1">
      <c r="A42" s="4"/>
      <c r="B42" s="4"/>
      <c r="C42" s="4"/>
      <c r="D42" s="7"/>
      <c r="E42" s="4"/>
      <c r="F42"/>
      <c r="G42" s="6" t="s">
        <v>172</v>
      </c>
      <c r="H42" s="6" t="s">
        <v>173</v>
      </c>
      <c r="I42" s="4"/>
      <c r="J42" s="6">
        <f>IF(I42&gt;0,PRODUCT(17905,I42),"")</f>
      </c>
    </row>
    <row r="43" spans="1:10" ht="23" customHeight="1">
      <c r="A43" s="4"/>
      <c r="B43" s="4"/>
      <c r="C43" s="4"/>
      <c r="D43" s="7"/>
      <c r="E43" s="4"/>
      <c r="F43"/>
      <c r="G43" s="6" t="s">
        <v>174</v>
      </c>
      <c r="H43" s="6" t="s">
        <v>175</v>
      </c>
      <c r="I43" s="4"/>
      <c r="J43" s="6">
        <f>IF(I43&gt;0,PRODUCT(4195,I43),"")</f>
      </c>
    </row>
    <row r="44" spans="1:10" s="1" customFormat="1" customHeight="1">
      <c r="A44" s="3" t="s">
        <v>176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customHeight="1">
      <c r="A45" s="4" t="s">
        <v>177</v>
      </c>
      <c r="B45" s="4" t="s">
        <v>178</v>
      </c>
      <c r="C45" s="4"/>
      <c r="D45" s="5" t="s">
        <v>179</v>
      </c>
      <c r="E45" s="4" t="s">
        <v>180</v>
      </c>
      <c r="F45" t="s">
        <v>181</v>
      </c>
      <c r="G45" s="6" t="s">
        <v>182</v>
      </c>
      <c r="H45" s="6" t="s">
        <v>183</v>
      </c>
      <c r="I45" s="4"/>
      <c r="J45" s="6">
        <f>IF(I45&gt;0,PRODUCT(555,I45),"")</f>
      </c>
    </row>
    <row r="46" spans="1:10" customHeight="1">
      <c r="A46" s="4"/>
      <c r="B46" s="4"/>
      <c r="C46" s="4"/>
      <c r="D46" s="7"/>
      <c r="E46" s="4"/>
      <c r="F46"/>
      <c r="G46" s="6" t="s">
        <v>184</v>
      </c>
      <c r="H46" s="6" t="s">
        <v>185</v>
      </c>
      <c r="I46" s="4"/>
      <c r="J46" s="6">
        <f>IF(I46&gt;0,PRODUCT(4190,I46),"")</f>
      </c>
    </row>
    <row r="47" spans="1:10" customHeight="1">
      <c r="A47" s="4"/>
      <c r="B47" s="4"/>
      <c r="C47" s="4"/>
      <c r="D47" s="7"/>
      <c r="E47" s="4"/>
      <c r="F47"/>
      <c r="G47" s="6" t="s">
        <v>186</v>
      </c>
      <c r="H47" s="6" t="s">
        <v>187</v>
      </c>
      <c r="I47" s="4"/>
      <c r="J47" s="6">
        <f>IF(I47&gt;0,PRODUCT(7980,I47),"")</f>
      </c>
    </row>
    <row r="48" spans="1:10" customHeight="1">
      <c r="A48" s="4"/>
      <c r="B48" s="4"/>
      <c r="C48" s="4"/>
      <c r="D48" s="7"/>
      <c r="E48" s="4"/>
      <c r="F48"/>
      <c r="G48" s="6" t="s">
        <v>188</v>
      </c>
      <c r="H48" s="6" t="s">
        <v>189</v>
      </c>
      <c r="I48" s="4"/>
      <c r="J48" s="6">
        <f>IF(I48&gt;0,PRODUCT(2260,I48),"")</f>
      </c>
    </row>
    <row r="49" spans="1:10" s="1" customFormat="1" customHeight="1">
      <c r="A49" s="3" t="s">
        <v>190</v>
      </c>
      <c r="B49" s="3"/>
      <c r="C49" s="3"/>
      <c r="D49" s="3"/>
      <c r="E49" s="3"/>
      <c r="F49" s="3"/>
      <c r="G49" s="3"/>
      <c r="H49" s="3"/>
      <c r="I49" s="3"/>
      <c r="J49" s="3"/>
    </row>
    <row r="50" spans="1:10" ht="18.5" customHeight="1">
      <c r="A50" s="4" t="s">
        <v>191</v>
      </c>
      <c r="B50" s="4"/>
      <c r="C50" s="4"/>
      <c r="D50" s="5" t="s">
        <v>192</v>
      </c>
      <c r="E50" s="4" t="s">
        <v>193</v>
      </c>
      <c r="F50"/>
      <c r="G50" s="6" t="s">
        <v>194</v>
      </c>
      <c r="H50" s="6" t="s">
        <v>195</v>
      </c>
      <c r="I50" s="4"/>
      <c r="J50" s="6">
        <f>IF(I50&gt;0,PRODUCT(955,I50),"")</f>
      </c>
    </row>
    <row r="51" spans="1:10" ht="18.5" customHeight="1">
      <c r="A51" s="4"/>
      <c r="B51" s="4"/>
      <c r="C51" s="4"/>
      <c r="D51" s="7"/>
      <c r="E51" s="4"/>
      <c r="F51"/>
      <c r="G51" s="6" t="s">
        <v>196</v>
      </c>
      <c r="H51" s="6" t="s">
        <v>197</v>
      </c>
      <c r="I51" s="4"/>
      <c r="J51" s="6">
        <f>IF(I51&gt;0,PRODUCT(310,I51),"")</f>
      </c>
    </row>
    <row r="52" spans="1:10" ht="18.5" customHeight="1">
      <c r="A52" s="4"/>
      <c r="B52" s="4"/>
      <c r="C52" s="4"/>
      <c r="D52" s="7"/>
      <c r="E52" s="4"/>
      <c r="F52"/>
      <c r="G52" s="6" t="s">
        <v>198</v>
      </c>
      <c r="H52" s="6" t="s">
        <v>199</v>
      </c>
      <c r="I52" s="4"/>
      <c r="J52" s="6">
        <f>IF(I52&gt;0,PRODUCT(390,I52),"")</f>
      </c>
    </row>
    <row r="53" spans="1:10" ht="19.3" customHeight="1">
      <c r="A53" s="4"/>
      <c r="B53" s="4"/>
      <c r="C53" s="4"/>
      <c r="D53" s="7"/>
      <c r="E53" s="4"/>
      <c r="F53"/>
      <c r="G53" s="6" t="s">
        <v>200</v>
      </c>
      <c r="H53" s="6" t="s">
        <v>201</v>
      </c>
      <c r="I53" s="4"/>
      <c r="J53" s="6">
        <f>IF(I53&gt;0,PRODUCT(560,I53),"")</f>
      </c>
    </row>
    <row r="54" spans="1:10" ht="15.5" customHeight="1">
      <c r="A54" s="4" t="s">
        <v>202</v>
      </c>
      <c r="B54" s="4"/>
      <c r="C54" s="4"/>
      <c r="D54" s="5" t="s">
        <v>203</v>
      </c>
      <c r="E54" s="4" t="s">
        <v>204</v>
      </c>
      <c r="F54"/>
      <c r="G54" s="6" t="s">
        <v>205</v>
      </c>
      <c r="H54" s="6" t="s">
        <v>206</v>
      </c>
      <c r="I54" s="4"/>
      <c r="J54" s="6">
        <f>IF(I54&gt;0,PRODUCT(2900,I54),"")</f>
      </c>
    </row>
    <row r="55" spans="1:10" ht="15.5" customHeight="1">
      <c r="A55" s="4"/>
      <c r="B55" s="4"/>
      <c r="C55" s="4"/>
      <c r="D55" s="7"/>
      <c r="E55" s="4"/>
      <c r="F55"/>
      <c r="G55" s="6" t="s">
        <v>207</v>
      </c>
      <c r="H55" s="6" t="s">
        <v>208</v>
      </c>
      <c r="I55" s="4"/>
      <c r="J55" s="6">
        <f>IF(I55&gt;0,PRODUCT(520,I55),"")</f>
      </c>
    </row>
    <row r="56" spans="1:10" ht="15.5" customHeight="1">
      <c r="A56" s="4"/>
      <c r="B56" s="4"/>
      <c r="C56" s="4"/>
      <c r="D56" s="7"/>
      <c r="E56" s="4"/>
      <c r="F56"/>
      <c r="G56" s="6" t="s">
        <v>209</v>
      </c>
      <c r="H56" s="6" t="s">
        <v>210</v>
      </c>
      <c r="I56" s="4"/>
      <c r="J56" s="6">
        <f>IF(I56&gt;0,PRODUCT(1190,I56),"")</f>
      </c>
    </row>
    <row r="57" spans="1:10" ht="15.5" customHeight="1">
      <c r="A57" s="4"/>
      <c r="B57" s="4"/>
      <c r="C57" s="4"/>
      <c r="D57" s="7"/>
      <c r="E57" s="4"/>
      <c r="F57"/>
      <c r="G57" s="6" t="s">
        <v>211</v>
      </c>
      <c r="H57" s="6" t="s">
        <v>212</v>
      </c>
      <c r="I57" s="4"/>
      <c r="J57" s="6">
        <f>IF(I57&gt;0,PRODUCT(1850,I57),"")</f>
      </c>
    </row>
    <row r="58" spans="1:10" s="1" customFormat="1" customHeight="1">
      <c r="A58" s="3" t="s">
        <v>213</v>
      </c>
      <c r="B58" s="3"/>
      <c r="C58" s="3"/>
      <c r="D58" s="3"/>
      <c r="E58" s="3"/>
      <c r="F58" s="3"/>
      <c r="G58" s="3"/>
      <c r="H58" s="3"/>
      <c r="I58" s="3"/>
      <c r="J58" s="3"/>
    </row>
    <row r="59" spans="1:10" s="1" customFormat="1" customHeight="1">
      <c r="A59" s="3" t="s">
        <v>214</v>
      </c>
      <c r="B59" s="3"/>
      <c r="C59" s="3"/>
      <c r="D59" s="3"/>
      <c r="E59" s="3"/>
      <c r="F59" s="3"/>
      <c r="G59" s="3"/>
      <c r="H59" s="3"/>
      <c r="I59" s="3"/>
      <c r="J59" s="3"/>
    </row>
    <row r="60" spans="1:10" ht="23" customHeight="1">
      <c r="A60" s="4" t="s">
        <v>215</v>
      </c>
      <c r="B60" s="4" t="s">
        <v>216</v>
      </c>
      <c r="C60" s="4"/>
      <c r="D60" s="5" t="s">
        <v>217</v>
      </c>
      <c r="E60" s="4" t="s">
        <v>218</v>
      </c>
      <c r="F60" t="s">
        <v>219</v>
      </c>
      <c r="G60" s="6" t="s">
        <v>220</v>
      </c>
      <c r="H60" s="6" t="s">
        <v>221</v>
      </c>
      <c r="I60" s="4"/>
      <c r="J60" s="6">
        <f>IF(I60&gt;0,PRODUCT(19300,I60),"")</f>
      </c>
    </row>
    <row r="61" spans="1:10" ht="23" customHeight="1">
      <c r="A61" s="4"/>
      <c r="B61" s="4"/>
      <c r="C61" s="4"/>
      <c r="D61" s="7"/>
      <c r="E61" s="4"/>
      <c r="F61"/>
      <c r="G61" s="6" t="s">
        <v>222</v>
      </c>
      <c r="H61" s="6" t="s">
        <v>223</v>
      </c>
      <c r="I61" s="4"/>
      <c r="J61" s="6">
        <f>IF(I61&gt;0,PRODUCT(1200,I61),"")</f>
      </c>
    </row>
    <row r="62" spans="1:10" ht="23" customHeight="1">
      <c r="A62" s="4"/>
      <c r="B62" s="4"/>
      <c r="C62" s="4"/>
      <c r="D62" s="7"/>
      <c r="E62" s="4"/>
      <c r="F62"/>
      <c r="G62" s="6" t="s">
        <v>224</v>
      </c>
      <c r="H62" s="6" t="s">
        <v>225</v>
      </c>
      <c r="I62" s="4"/>
      <c r="J62" s="6">
        <f>IF(I62&gt;0,PRODUCT(8800,I62),"")</f>
      </c>
    </row>
    <row r="63" spans="1:10" ht="23" customHeight="1">
      <c r="A63" s="4"/>
      <c r="B63" s="4"/>
      <c r="C63" s="4"/>
      <c r="D63" s="7"/>
      <c r="E63" s="4"/>
      <c r="F63"/>
      <c r="G63" s="6" t="s">
        <v>226</v>
      </c>
      <c r="H63" s="6" t="s">
        <v>227</v>
      </c>
      <c r="I63" s="4"/>
      <c r="J63" s="6">
        <f>IF(I63&gt;0,PRODUCT(4900,I63),"")</f>
      </c>
    </row>
    <row r="64" spans="1:10" ht="23" customHeight="1">
      <c r="A64" s="4" t="s">
        <v>228</v>
      </c>
      <c r="B64" s="4" t="s">
        <v>229</v>
      </c>
      <c r="C64" s="4"/>
      <c r="D64" s="5" t="s">
        <v>230</v>
      </c>
      <c r="E64" s="4" t="s">
        <v>231</v>
      </c>
      <c r="F64" t="s">
        <v>232</v>
      </c>
      <c r="G64" s="6" t="s">
        <v>233</v>
      </c>
      <c r="H64" s="6" t="s">
        <v>234</v>
      </c>
      <c r="I64" s="4"/>
      <c r="J64" s="6">
        <f>IF(I64&gt;0,PRODUCT(1300,I64),"")</f>
      </c>
    </row>
    <row r="65" spans="1:10" ht="23" customHeight="1">
      <c r="A65" s="4"/>
      <c r="B65" s="4"/>
      <c r="C65" s="4"/>
      <c r="D65" s="7"/>
      <c r="E65" s="4"/>
      <c r="F65"/>
      <c r="G65" s="6" t="s">
        <v>235</v>
      </c>
      <c r="H65" s="6" t="s">
        <v>236</v>
      </c>
      <c r="I65" s="4"/>
      <c r="J65" s="6">
        <f>IF(I65&gt;0,PRODUCT(10300,I65),"")</f>
      </c>
    </row>
    <row r="66" spans="1:10" ht="23" customHeight="1">
      <c r="A66" s="4"/>
      <c r="B66" s="4"/>
      <c r="C66" s="4"/>
      <c r="D66" s="7"/>
      <c r="E66" s="4"/>
      <c r="F66"/>
      <c r="G66" s="6" t="s">
        <v>237</v>
      </c>
      <c r="H66" s="6" t="s">
        <v>238</v>
      </c>
      <c r="I66" s="4"/>
      <c r="J66" s="6">
        <f>IF(I66&gt;0,PRODUCT(17600,I66),"")</f>
      </c>
    </row>
    <row r="67" spans="1:10" ht="23" customHeight="1">
      <c r="A67" s="4"/>
      <c r="B67" s="4"/>
      <c r="C67" s="4"/>
      <c r="D67" s="7"/>
      <c r="E67" s="4"/>
      <c r="F67"/>
      <c r="G67" s="6" t="s">
        <v>239</v>
      </c>
      <c r="H67" s="6" t="s">
        <v>240</v>
      </c>
      <c r="I67" s="4"/>
      <c r="J67" s="6">
        <f>IF(I67&gt;0,PRODUCT(5500,I67),"")</f>
      </c>
    </row>
    <row r="68" spans="1:10" ht="15.5" customHeight="1">
      <c r="A68" s="4" t="s">
        <v>241</v>
      </c>
      <c r="B68" s="4" t="s">
        <v>242</v>
      </c>
      <c r="C68" s="4"/>
      <c r="D68" s="5" t="s">
        <v>243</v>
      </c>
      <c r="E68" s="4" t="s">
        <v>244</v>
      </c>
      <c r="F68" t="s">
        <v>245</v>
      </c>
      <c r="G68" s="6" t="s">
        <v>246</v>
      </c>
      <c r="H68" s="6" t="s">
        <v>247</v>
      </c>
      <c r="I68" s="4"/>
      <c r="J68" s="6">
        <f>IF(I68&gt;0,PRODUCT(1200,I68),"")</f>
      </c>
    </row>
    <row r="69" spans="1:10" ht="15.5" customHeight="1">
      <c r="A69" s="4"/>
      <c r="B69" s="4"/>
      <c r="C69" s="4"/>
      <c r="D69" s="7"/>
      <c r="E69" s="4"/>
      <c r="F69"/>
      <c r="G69" s="6" t="s">
        <v>248</v>
      </c>
      <c r="H69" s="6" t="s">
        <v>249</v>
      </c>
      <c r="I69" s="4"/>
      <c r="J69" s="6">
        <f>IF(I69&gt;0,PRODUCT(21000,I69),"")</f>
      </c>
    </row>
    <row r="70" spans="1:10" ht="15.5" customHeight="1">
      <c r="A70" s="4"/>
      <c r="B70" s="4"/>
      <c r="C70" s="4"/>
      <c r="D70" s="7"/>
      <c r="E70" s="4"/>
      <c r="F70"/>
      <c r="G70" s="6" t="s">
        <v>250</v>
      </c>
      <c r="H70" s="6" t="s">
        <v>251</v>
      </c>
      <c r="I70" s="4"/>
      <c r="J70" s="6">
        <f>IF(I70&gt;0,PRODUCT(4900,I70),"")</f>
      </c>
    </row>
    <row r="71" spans="1:10" ht="15.5" customHeight="1">
      <c r="A71" s="4"/>
      <c r="B71" s="4"/>
      <c r="C71" s="4"/>
      <c r="D71" s="7"/>
      <c r="E71" s="4"/>
      <c r="F71"/>
      <c r="G71" s="6" t="s">
        <v>252</v>
      </c>
      <c r="H71" s="6" t="s">
        <v>253</v>
      </c>
      <c r="I71" s="4"/>
      <c r="J71" s="6">
        <f>IF(I71&gt;0,PRODUCT(780,I71),"")</f>
      </c>
    </row>
    <row r="72" spans="1:10" s="1" customFormat="1" customHeight="1">
      <c r="A72" s="3" t="s">
        <v>254</v>
      </c>
      <c r="B72" s="3"/>
      <c r="C72" s="3"/>
      <c r="D72" s="3"/>
      <c r="E72" s="3"/>
      <c r="F72" s="3"/>
      <c r="G72" s="3"/>
      <c r="H72" s="3"/>
      <c r="I72" s="3"/>
      <c r="J72" s="3"/>
    </row>
    <row r="73" spans="1:10" customHeight="1">
      <c r="A73" s="4" t="s">
        <v>255</v>
      </c>
      <c r="B73" s="4" t="s">
        <v>256</v>
      </c>
      <c r="C73" s="4"/>
      <c r="D73" s="5" t="s">
        <v>257</v>
      </c>
      <c r="E73" s="4" t="s">
        <v>258</v>
      </c>
      <c r="F73"/>
      <c r="G73" s="6" t="s">
        <v>259</v>
      </c>
      <c r="H73" s="6" t="s">
        <v>260</v>
      </c>
      <c r="I73" s="4"/>
      <c r="J73" s="6">
        <f>IF(I73&gt;0,PRODUCT(1410,I73),"")</f>
      </c>
    </row>
    <row r="74" spans="1:10" customHeight="1">
      <c r="A74" s="4"/>
      <c r="B74" s="4"/>
      <c r="C74" s="4"/>
      <c r="D74" s="7"/>
      <c r="E74" s="4"/>
      <c r="F74"/>
      <c r="G74" s="6" t="s">
        <v>261</v>
      </c>
      <c r="H74" s="6" t="s">
        <v>262</v>
      </c>
      <c r="I74" s="4"/>
      <c r="J74" s="6">
        <f>IF(I74&gt;0,PRODUCT(245,I74),"")</f>
      </c>
    </row>
    <row r="75" spans="1:10" customHeight="1">
      <c r="A75" s="4"/>
      <c r="B75" s="4"/>
      <c r="C75" s="4"/>
      <c r="D75" s="7"/>
      <c r="E75" s="4"/>
      <c r="F75"/>
      <c r="G75" s="6" t="s">
        <v>263</v>
      </c>
      <c r="H75" s="6" t="s">
        <v>264</v>
      </c>
      <c r="I75" s="4"/>
      <c r="J75" s="6">
        <f>IF(I75&gt;0,PRODUCT(430,I75),"")</f>
      </c>
    </row>
    <row r="76" spans="1:10" customHeight="1">
      <c r="A76" s="4"/>
      <c r="B76" s="4"/>
      <c r="C76" s="4"/>
      <c r="D76" s="7"/>
      <c r="E76" s="4"/>
      <c r="F76"/>
      <c r="G76" s="6" t="s">
        <v>265</v>
      </c>
      <c r="H76" s="6" t="s">
        <v>266</v>
      </c>
      <c r="I76" s="4"/>
      <c r="J76" s="6">
        <f>IF(I76&gt;0,PRODUCT(5360,I76),"")</f>
      </c>
    </row>
    <row r="77" spans="1:10" customHeight="1">
      <c r="A77" s="4"/>
      <c r="B77" s="4"/>
      <c r="C77" s="4"/>
      <c r="D77" s="7"/>
      <c r="E77" s="4"/>
      <c r="F77"/>
      <c r="G77" s="6" t="s">
        <v>267</v>
      </c>
      <c r="H77" s="6" t="s">
        <v>268</v>
      </c>
      <c r="I77" s="4"/>
      <c r="J77" s="6">
        <f>IF(I77&gt;0,PRODUCT(775,I77),"")</f>
      </c>
    </row>
    <row r="78" spans="1:10" s="1" customFormat="1" customHeight="1">
      <c r="A78" s="3" t="s">
        <v>269</v>
      </c>
      <c r="B78" s="3"/>
      <c r="C78" s="3"/>
      <c r="D78" s="3"/>
      <c r="E78" s="3"/>
      <c r="F78" s="3"/>
      <c r="G78" s="3"/>
      <c r="H78" s="3"/>
      <c r="I78" s="3"/>
      <c r="J78" s="3"/>
    </row>
    <row r="79" spans="1:10" ht="23" customHeight="1">
      <c r="A79" s="4" t="s">
        <v>270</v>
      </c>
      <c r="B79" s="4" t="s">
        <v>271</v>
      </c>
      <c r="C79" s="4"/>
      <c r="D79" s="5" t="s">
        <v>272</v>
      </c>
      <c r="E79" s="4" t="s">
        <v>273</v>
      </c>
      <c r="F79" t="s">
        <v>274</v>
      </c>
      <c r="G79" s="6" t="s">
        <v>275</v>
      </c>
      <c r="H79" s="6" t="s">
        <v>276</v>
      </c>
      <c r="I79" s="4"/>
      <c r="J79" s="6">
        <f>IF(I79&gt;0,PRODUCT(295,I79),"")</f>
      </c>
    </row>
    <row r="80" spans="1:10" ht="23" customHeight="1">
      <c r="A80" s="4"/>
      <c r="B80" s="4"/>
      <c r="C80" s="4"/>
      <c r="D80" s="7"/>
      <c r="E80" s="4"/>
      <c r="F80"/>
      <c r="G80" s="6" t="s">
        <v>277</v>
      </c>
      <c r="H80" s="6" t="s">
        <v>278</v>
      </c>
      <c r="I80" s="4"/>
      <c r="J80" s="6">
        <f>IF(I80&gt;0,PRODUCT(1295,I80),"")</f>
      </c>
    </row>
    <row r="81" spans="1:10" ht="23" customHeight="1">
      <c r="A81" s="4"/>
      <c r="B81" s="4"/>
      <c r="C81" s="4"/>
      <c r="D81" s="7"/>
      <c r="E81" s="4"/>
      <c r="F81"/>
      <c r="G81" s="6" t="s">
        <v>279</v>
      </c>
      <c r="H81" s="6" t="s">
        <v>280</v>
      </c>
      <c r="I81" s="4"/>
      <c r="J81" s="6">
        <f>IF(I81&gt;0,PRODUCT(5985,I81),"")</f>
      </c>
    </row>
    <row r="82" spans="1:10" ht="23" customHeight="1">
      <c r="A82" s="4"/>
      <c r="B82" s="4"/>
      <c r="C82" s="4"/>
      <c r="D82" s="7"/>
      <c r="E82" s="4"/>
      <c r="F82"/>
      <c r="G82" s="6" t="s">
        <v>281</v>
      </c>
      <c r="H82" s="6" t="s">
        <v>282</v>
      </c>
      <c r="I82" s="4"/>
      <c r="J82" s="6">
        <f>IF(I82&gt;0,PRODUCT(770,I82),"")</f>
      </c>
    </row>
    <row r="83" spans="1:10" ht="23" customHeight="1">
      <c r="A83" s="4" t="s">
        <v>283</v>
      </c>
      <c r="B83" s="4" t="s">
        <v>284</v>
      </c>
      <c r="C83" s="4"/>
      <c r="D83" s="5" t="s">
        <v>285</v>
      </c>
      <c r="E83" s="4" t="s">
        <v>286</v>
      </c>
      <c r="F83" t="s">
        <v>287</v>
      </c>
      <c r="G83" s="6" t="s">
        <v>288</v>
      </c>
      <c r="H83" s="6" t="s">
        <v>289</v>
      </c>
      <c r="I83" s="4"/>
      <c r="J83" s="6">
        <f>IF(I83&gt;0,PRODUCT(1290,I83),"")</f>
      </c>
    </row>
    <row r="84" spans="1:10" ht="23" customHeight="1">
      <c r="A84" s="4"/>
      <c r="B84" s="4"/>
      <c r="C84" s="4"/>
      <c r="D84" s="7"/>
      <c r="E84" s="4"/>
      <c r="F84"/>
      <c r="G84" s="6" t="s">
        <v>290</v>
      </c>
      <c r="H84" s="6" t="s">
        <v>291</v>
      </c>
      <c r="I84" s="4"/>
      <c r="J84" s="6">
        <f>IF(I84&gt;0,PRODUCT(23915,I84),"")</f>
      </c>
    </row>
    <row r="85" spans="1:10" ht="23" customHeight="1">
      <c r="A85" s="4"/>
      <c r="B85" s="4"/>
      <c r="C85" s="4"/>
      <c r="D85" s="7"/>
      <c r="E85" s="4"/>
      <c r="F85"/>
      <c r="G85" s="6" t="s">
        <v>292</v>
      </c>
      <c r="H85" s="6" t="s">
        <v>293</v>
      </c>
      <c r="I85" s="4"/>
      <c r="J85" s="6">
        <f>IF(I85&gt;0,PRODUCT(790,I85),"")</f>
      </c>
    </row>
    <row r="86" spans="1:10" ht="23" customHeight="1">
      <c r="A86" s="4"/>
      <c r="B86" s="4"/>
      <c r="C86" s="4"/>
      <c r="D86" s="7"/>
      <c r="E86" s="4"/>
      <c r="F86"/>
      <c r="G86" s="6" t="s">
        <v>294</v>
      </c>
      <c r="H86" s="6" t="s">
        <v>295</v>
      </c>
      <c r="I86" s="4"/>
      <c r="J86" s="6">
        <f>IF(I86&gt;0,PRODUCT(5245,I86),"")</f>
      </c>
    </row>
    <row r="87" spans="1:10" s="1" customFormat="1" customHeight="1">
      <c r="A87" s="3" t="s">
        <v>296</v>
      </c>
      <c r="B87" s="3"/>
      <c r="C87" s="3"/>
      <c r="D87" s="3"/>
      <c r="E87" s="3"/>
      <c r="F87" s="3"/>
      <c r="G87" s="3"/>
      <c r="H87" s="3"/>
      <c r="I87" s="3"/>
      <c r="J87" s="3"/>
    </row>
    <row r="88" spans="1:10" ht="22.5" customHeight="1">
      <c r="A88" s="4" t="s">
        <v>297</v>
      </c>
      <c r="B88" s="4"/>
      <c r="C88" s="4"/>
      <c r="D88" s="5" t="s">
        <v>298</v>
      </c>
      <c r="E88" s="4" t="s">
        <v>299</v>
      </c>
      <c r="F88"/>
      <c r="G88" s="6" t="s">
        <v>300</v>
      </c>
      <c r="H88" s="6" t="s">
        <v>301</v>
      </c>
      <c r="I88" s="4"/>
      <c r="J88" s="6">
        <f>IF(I88&gt;0,PRODUCT(210,I88),"")</f>
      </c>
    </row>
    <row r="89" spans="1:10" ht="22.5" customHeight="1">
      <c r="A89" s="4"/>
      <c r="B89" s="4"/>
      <c r="C89" s="4"/>
      <c r="D89" s="7"/>
      <c r="E89" s="4"/>
      <c r="F89"/>
      <c r="G89" s="6" t="s">
        <v>302</v>
      </c>
      <c r="H89" s="6" t="s">
        <v>303</v>
      </c>
      <c r="I89" s="4"/>
      <c r="J89" s="6">
        <f>IF(I89&gt;0,PRODUCT(520,I89),"")</f>
      </c>
    </row>
    <row r="90" spans="1:10" ht="22.6" customHeight="1">
      <c r="A90" s="4"/>
      <c r="B90" s="4"/>
      <c r="C90" s="4"/>
      <c r="D90" s="7"/>
      <c r="E90" s="4"/>
      <c r="F90"/>
      <c r="G90" s="6" t="s">
        <v>304</v>
      </c>
      <c r="H90" s="6" t="s">
        <v>305</v>
      </c>
      <c r="I90" s="4"/>
      <c r="J90" s="6">
        <f>IF(I90&gt;0,PRODUCT(135,I90),"")</f>
      </c>
    </row>
    <row r="91" spans="1:10" s="1" customFormat="1" customHeight="1">
      <c r="A91" s="3" t="s">
        <v>306</v>
      </c>
      <c r="B91" s="3"/>
      <c r="C91" s="3"/>
      <c r="D91" s="3"/>
      <c r="E91" s="3"/>
      <c r="F91" s="3"/>
      <c r="G91" s="3"/>
      <c r="H91" s="3"/>
      <c r="I91" s="3"/>
      <c r="J91" s="3"/>
    </row>
    <row r="92" spans="1:10" ht="30.5" customHeight="1">
      <c r="A92" s="4" t="s">
        <v>307</v>
      </c>
      <c r="B92" s="4"/>
      <c r="C92" s="4"/>
      <c r="D92" s="5" t="s">
        <v>308</v>
      </c>
      <c r="E92" s="4"/>
      <c r="F92" t="s">
        <v>309</v>
      </c>
      <c r="G92" s="6" t="s">
        <v>310</v>
      </c>
      <c r="H92" s="6" t="s">
        <v>311</v>
      </c>
      <c r="I92" s="4"/>
      <c r="J92" s="6">
        <f>IF(I92&gt;0,PRODUCT(180,I92),"")</f>
      </c>
    </row>
    <row r="93" spans="1:10" ht="30.5" customHeight="1">
      <c r="A93" s="4"/>
      <c r="B93" s="4"/>
      <c r="C93" s="4"/>
      <c r="D93" s="7"/>
      <c r="E93" s="4"/>
      <c r="F93"/>
      <c r="G93" s="6" t="s">
        <v>312</v>
      </c>
      <c r="H93" s="6" t="s">
        <v>313</v>
      </c>
      <c r="I93" s="4"/>
      <c r="J93" s="6">
        <f>IF(I93&gt;0,PRODUCT(735,I93),"")</f>
      </c>
    </row>
    <row r="94" spans="1:10" s="1" customFormat="1" customHeight="1">
      <c r="A94" s="3" t="s">
        <v>314</v>
      </c>
      <c r="B94" s="3"/>
      <c r="C94" s="3"/>
      <c r="D94" s="3"/>
      <c r="E94" s="3"/>
      <c r="F94" s="3"/>
      <c r="G94" s="3"/>
      <c r="H94" s="3"/>
      <c r="I94" s="3"/>
      <c r="J94" s="3"/>
    </row>
    <row r="95" spans="1:10" ht="20" customHeight="1">
      <c r="A95" s="4" t="s">
        <v>315</v>
      </c>
      <c r="B95" s="4" t="s">
        <v>316</v>
      </c>
      <c r="C95" s="4"/>
      <c r="D95" s="5" t="s">
        <v>317</v>
      </c>
      <c r="E95" s="4"/>
      <c r="F95"/>
      <c r="G95" s="6" t="s">
        <v>318</v>
      </c>
      <c r="H95" s="6" t="s">
        <v>319</v>
      </c>
      <c r="I95" s="4"/>
      <c r="J95" s="6">
        <f>IF(I95&gt;0,PRODUCT(5850,I95),"")</f>
      </c>
    </row>
    <row r="96" spans="1:10" ht="20" customHeight="1">
      <c r="A96" s="4"/>
      <c r="B96" s="4"/>
      <c r="C96" s="4"/>
      <c r="D96" s="7"/>
      <c r="E96" s="4"/>
      <c r="F96"/>
      <c r="G96" s="6" t="s">
        <v>320</v>
      </c>
      <c r="H96" s="6" t="s">
        <v>321</v>
      </c>
      <c r="I96" s="4"/>
      <c r="J96" s="6">
        <f>IF(I96&gt;0,PRODUCT(5850,I96),"")</f>
      </c>
    </row>
    <row r="97" spans="1:10" ht="20" customHeight="1">
      <c r="A97" s="4"/>
      <c r="B97" s="4"/>
      <c r="C97" s="4"/>
      <c r="D97" s="7"/>
      <c r="E97" s="4"/>
      <c r="F97"/>
      <c r="G97" s="6" t="s">
        <v>322</v>
      </c>
      <c r="H97" s="6" t="s">
        <v>323</v>
      </c>
      <c r="I97" s="4"/>
      <c r="J97" s="6">
        <f>IF(I97&gt;0,PRODUCT(5850,I97),"")</f>
      </c>
    </row>
    <row r="98" spans="1:10" ht="20.8" customHeight="1">
      <c r="A98" s="4"/>
      <c r="B98" s="4"/>
      <c r="C98" s="4"/>
      <c r="D98" s="7"/>
      <c r="E98" s="4"/>
      <c r="F98"/>
      <c r="G98" s="6" t="s">
        <v>324</v>
      </c>
      <c r="H98" s="6" t="s">
        <v>325</v>
      </c>
      <c r="I98" s="4"/>
      <c r="J98" s="6">
        <f>IF(I98&gt;0,PRODUCT(5850,I98),"")</f>
      </c>
    </row>
    <row r="99" spans="1:10" s="8" customFormat="1" customHeight="1">
      <c r="A99" s="9">
        <f>CONCATENATE("Общая сумма: ",SUM(J2:J40)," руб.")</f>
      </c>
      <c r="B99" s="9"/>
      <c r="C99" s="9"/>
      <c r="D99" s="9"/>
      <c r="E99" s="9"/>
      <c r="F99" s="9"/>
      <c r="G99" s="9"/>
      <c r="H99" s="9"/>
      <c r="I99" s="9"/>
      <c r="J99" s="9"/>
    </row>
  </sheetData>
  <sheetProtection formatCells="0" formatColumns="0" formatRows="0" insertColumns="0" insertRows="0" insertHyperlinks="0" deleteColumns="0" deleteRows="0" sort="0" autoFilter="0" pivotTables="0"/>
  <mergeCells count="125">
    <mergeCell ref="A2:J2"/>
    <mergeCell ref="A3:J3"/>
    <mergeCell ref="A4:J4"/>
    <mergeCell ref="A5:A10"/>
    <mergeCell ref="B5:B10"/>
    <mergeCell ref="C5:C10"/>
    <mergeCell ref="D5:D10"/>
    <mergeCell ref="E5:E10"/>
    <mergeCell ref="F5:F10"/>
    <mergeCell ref="A11:J11"/>
    <mergeCell ref="A12:J12"/>
    <mergeCell ref="A13:A20"/>
    <mergeCell ref="B13:B20"/>
    <mergeCell ref="C13:C20"/>
    <mergeCell ref="D13:D20"/>
    <mergeCell ref="E13:E20"/>
    <mergeCell ref="F13:F20"/>
    <mergeCell ref="A21:J21"/>
    <mergeCell ref="A27:A30"/>
    <mergeCell ref="B27:B30"/>
    <mergeCell ref="C27:C30"/>
    <mergeCell ref="D27:D30"/>
    <mergeCell ref="E27:E30"/>
    <mergeCell ref="F27:F30"/>
    <mergeCell ref="A31:A34"/>
    <mergeCell ref="B31:B34"/>
    <mergeCell ref="C31:C34"/>
    <mergeCell ref="D31:D34"/>
    <mergeCell ref="E31:E34"/>
    <mergeCell ref="F31:F34"/>
    <mergeCell ref="A35:A38"/>
    <mergeCell ref="B35:B38"/>
    <mergeCell ref="C35:C38"/>
    <mergeCell ref="D35:D38"/>
    <mergeCell ref="E35:E38"/>
    <mergeCell ref="F35:F38"/>
    <mergeCell ref="A39:J39"/>
    <mergeCell ref="A40:A43"/>
    <mergeCell ref="B40:B43"/>
    <mergeCell ref="C40:C43"/>
    <mergeCell ref="D40:D43"/>
    <mergeCell ref="E40:E43"/>
    <mergeCell ref="F40:F43"/>
    <mergeCell ref="A44:J44"/>
    <mergeCell ref="A45:A48"/>
    <mergeCell ref="B45:B48"/>
    <mergeCell ref="C45:C48"/>
    <mergeCell ref="D45:D48"/>
    <mergeCell ref="E45:E48"/>
    <mergeCell ref="F45:F48"/>
    <mergeCell ref="A49:J49"/>
    <mergeCell ref="A50:A53"/>
    <mergeCell ref="B50:B53"/>
    <mergeCell ref="C50:C53"/>
    <mergeCell ref="D50:D53"/>
    <mergeCell ref="E50:E53"/>
    <mergeCell ref="F50:F53"/>
    <mergeCell ref="A54:A57"/>
    <mergeCell ref="B54:B57"/>
    <mergeCell ref="C54:C57"/>
    <mergeCell ref="D54:D57"/>
    <mergeCell ref="E54:E57"/>
    <mergeCell ref="F54:F57"/>
    <mergeCell ref="A58:J58"/>
    <mergeCell ref="A59:J59"/>
    <mergeCell ref="A60:A63"/>
    <mergeCell ref="B60:B63"/>
    <mergeCell ref="C60:C63"/>
    <mergeCell ref="D60:D63"/>
    <mergeCell ref="E60:E63"/>
    <mergeCell ref="F60:F63"/>
    <mergeCell ref="A64:A67"/>
    <mergeCell ref="B64:B67"/>
    <mergeCell ref="C64:C67"/>
    <mergeCell ref="D64:D67"/>
    <mergeCell ref="E64:E67"/>
    <mergeCell ref="F64:F67"/>
    <mergeCell ref="A68:A71"/>
    <mergeCell ref="B68:B71"/>
    <mergeCell ref="C68:C71"/>
    <mergeCell ref="D68:D71"/>
    <mergeCell ref="E68:E71"/>
    <mergeCell ref="F68:F71"/>
    <mergeCell ref="A72:J72"/>
    <mergeCell ref="A73:A77"/>
    <mergeCell ref="B73:B77"/>
    <mergeCell ref="C73:C77"/>
    <mergeCell ref="D73:D77"/>
    <mergeCell ref="E73:E77"/>
    <mergeCell ref="F73:F77"/>
    <mergeCell ref="A78:J78"/>
    <mergeCell ref="A79:A82"/>
    <mergeCell ref="B79:B82"/>
    <mergeCell ref="C79:C82"/>
    <mergeCell ref="D79:D82"/>
    <mergeCell ref="E79:E82"/>
    <mergeCell ref="F79:F82"/>
    <mergeCell ref="A83:A86"/>
    <mergeCell ref="B83:B86"/>
    <mergeCell ref="C83:C86"/>
    <mergeCell ref="D83:D86"/>
    <mergeCell ref="E83:E86"/>
    <mergeCell ref="F83:F86"/>
    <mergeCell ref="A87:J87"/>
    <mergeCell ref="A88:A90"/>
    <mergeCell ref="B88:B90"/>
    <mergeCell ref="C88:C90"/>
    <mergeCell ref="D88:D90"/>
    <mergeCell ref="E88:E90"/>
    <mergeCell ref="F88:F90"/>
    <mergeCell ref="A91:J91"/>
    <mergeCell ref="A92:A93"/>
    <mergeCell ref="B92:B93"/>
    <mergeCell ref="C92:C93"/>
    <mergeCell ref="D92:D93"/>
    <mergeCell ref="E92:E93"/>
    <mergeCell ref="F92:F93"/>
    <mergeCell ref="A94:J94"/>
    <mergeCell ref="A95:A98"/>
    <mergeCell ref="B95:B98"/>
    <mergeCell ref="C95:C98"/>
    <mergeCell ref="D95:D98"/>
    <mergeCell ref="E95:E98"/>
    <mergeCell ref="F95:F98"/>
    <mergeCell ref="A99:J99"/>
  </mergeCells>
  <hyperlinks>
    <hyperlink ref="D5" r:id="rId2"/>
    <hyperlink ref="D13" r:id="rId3"/>
    <hyperlink ref="D22" r:id="rId4"/>
    <hyperlink ref="D23" r:id="rId5"/>
    <hyperlink ref="D24" r:id="rId6"/>
    <hyperlink ref="D25" r:id="rId7"/>
    <hyperlink ref="D26" r:id="rId8"/>
    <hyperlink ref="D27" r:id="rId9"/>
    <hyperlink ref="D31" r:id="rId10"/>
    <hyperlink ref="D35" r:id="rId11"/>
    <hyperlink ref="D40" r:id="rId12"/>
    <hyperlink ref="D45" r:id="rId13"/>
    <hyperlink ref="D50" r:id="rId14"/>
    <hyperlink ref="D54" r:id="rId15"/>
    <hyperlink ref="D60" r:id="rId16"/>
    <hyperlink ref="D64" r:id="rId17"/>
    <hyperlink ref="D68" r:id="rId18"/>
    <hyperlink ref="D73" r:id="rId19"/>
    <hyperlink ref="D79" r:id="rId20"/>
    <hyperlink ref="D83" r:id="rId21"/>
    <hyperlink ref="D88" r:id="rId22"/>
    <hyperlink ref="D92" r:id="rId23"/>
    <hyperlink ref="D95" r:id="rId24"/>
  </hyperlinks>
  <pageMargins left="0.7" right="0.7" top="0.75" bottom="0.75" header="0.3" footer="0.3"/>
  <pageSetup orientation="portrait"/>
  <headerFooter alignWithMargins="0"/>
  <ignoredErrors>
    <ignoredError sqref="A1:J99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9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326</v>
      </c>
      <c r="B1" s="3" t="s">
        <v>327</v>
      </c>
      <c r="C1" s="3" t="s">
        <v>328</v>
      </c>
      <c r="D1" s="3" t="s">
        <v>329</v>
      </c>
      <c r="E1" s="3" t="s">
        <v>330</v>
      </c>
      <c r="F1" s="3" t="s">
        <v>331</v>
      </c>
      <c r="G1" s="3" t="s">
        <v>332</v>
      </c>
      <c r="H1" s="3" t="s">
        <v>333</v>
      </c>
      <c r="I1" s="3" t="s">
        <v>334</v>
      </c>
      <c r="J1" s="3" t="s">
        <v>335</v>
      </c>
    </row>
    <row r="2" spans="1:10" s="1" customFormat="1" customHeight="1">
      <c r="A2" s="3" t="s">
        <v>336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337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338</v>
      </c>
      <c r="B4" s="3"/>
      <c r="C4" s="3"/>
      <c r="D4" s="3"/>
      <c r="E4" s="3"/>
      <c r="F4" s="3"/>
      <c r="G4" s="3"/>
      <c r="H4" s="3"/>
      <c r="I4" s="3"/>
      <c r="J4" s="3"/>
    </row>
    <row r="5" spans="1:10" ht="18" customHeight="1">
      <c r="A5" s="4" t="s">
        <v>339</v>
      </c>
      <c r="B5" s="4" t="s">
        <v>340</v>
      </c>
      <c r="C5" s="4"/>
      <c r="D5" s="5" t="s">
        <v>341</v>
      </c>
      <c r="E5" s="4"/>
      <c r="F5" t="s">
        <v>342</v>
      </c>
      <c r="G5" s="6" t="s">
        <v>343</v>
      </c>
      <c r="H5" s="6" t="s">
        <v>344</v>
      </c>
      <c r="I5" s="4"/>
      <c r="J5" s="6">
        <f>IF(I5&gt;0,PRODUCT(160,I5),"")</f>
      </c>
    </row>
    <row r="6" spans="1:10" ht="18" customHeight="1">
      <c r="A6" s="4"/>
      <c r="B6" s="4"/>
      <c r="C6" s="4"/>
      <c r="D6" s="7"/>
      <c r="E6" s="4"/>
      <c r="F6"/>
      <c r="G6" s="6" t="s">
        <v>345</v>
      </c>
      <c r="H6" s="6" t="s">
        <v>346</v>
      </c>
      <c r="I6" s="4"/>
      <c r="J6" s="6">
        <f>IF(I6&gt;0,PRODUCT(260,I6),"")</f>
      </c>
    </row>
    <row r="7" spans="1:10" ht="18" customHeight="1">
      <c r="A7" s="4"/>
      <c r="B7" s="4"/>
      <c r="C7" s="4"/>
      <c r="D7" s="7"/>
      <c r="E7" s="4"/>
      <c r="F7"/>
      <c r="G7" s="6" t="s">
        <v>347</v>
      </c>
      <c r="H7" s="6" t="s">
        <v>348</v>
      </c>
      <c r="I7" s="4"/>
      <c r="J7" s="6">
        <f>IF(I7&gt;0,PRODUCT(160,I7),"")</f>
      </c>
    </row>
    <row r="8" spans="1:10" ht="18" customHeight="1">
      <c r="A8" s="4"/>
      <c r="B8" s="4"/>
      <c r="C8" s="4"/>
      <c r="D8" s="7"/>
      <c r="E8" s="4"/>
      <c r="F8"/>
      <c r="G8" s="6" t="s">
        <v>349</v>
      </c>
      <c r="H8" s="6" t="s">
        <v>350</v>
      </c>
      <c r="I8" s="4"/>
      <c r="J8" s="6">
        <f>IF(I8&gt;0,PRODUCT(160,I8),"")</f>
      </c>
    </row>
    <row r="9" spans="1:10" ht="19" customHeight="1">
      <c r="A9" s="4"/>
      <c r="B9" s="4"/>
      <c r="C9" s="4"/>
      <c r="D9" s="7"/>
      <c r="E9" s="4"/>
      <c r="F9"/>
      <c r="G9" s="6" t="s">
        <v>351</v>
      </c>
      <c r="H9" s="6" t="s">
        <v>352</v>
      </c>
      <c r="I9" s="4"/>
      <c r="J9" s="6">
        <f>IF(I9&gt;0,PRODUCT(1090,I9),"")</f>
      </c>
    </row>
    <row r="10" spans="1:10" ht="15" customHeight="1">
      <c r="A10" s="4" t="s">
        <v>353</v>
      </c>
      <c r="B10" s="4" t="s">
        <v>354</v>
      </c>
      <c r="C10" s="4"/>
      <c r="D10" s="5" t="s">
        <v>355</v>
      </c>
      <c r="E10" s="4"/>
      <c r="F10" t="s">
        <v>356</v>
      </c>
      <c r="G10" s="6" t="s">
        <v>357</v>
      </c>
      <c r="H10" s="6" t="s">
        <v>358</v>
      </c>
      <c r="I10" s="4"/>
      <c r="J10" s="6">
        <f>IF(I10&gt;0,PRODUCT(215,I10),"")</f>
      </c>
    </row>
    <row r="11" spans="1:10" ht="15" customHeight="1">
      <c r="A11" s="4"/>
      <c r="B11" s="4"/>
      <c r="C11" s="4"/>
      <c r="D11" s="7"/>
      <c r="E11" s="4"/>
      <c r="F11"/>
      <c r="G11" s="6" t="s">
        <v>359</v>
      </c>
      <c r="H11" s="6" t="s">
        <v>360</v>
      </c>
      <c r="I11" s="4"/>
      <c r="J11" s="6">
        <f>IF(I11&gt;0,PRODUCT(360,I11),"")</f>
      </c>
    </row>
    <row r="12" spans="1:10" ht="15" customHeight="1">
      <c r="A12" s="4"/>
      <c r="B12" s="4"/>
      <c r="C12" s="4"/>
      <c r="D12" s="7"/>
      <c r="E12" s="4"/>
      <c r="F12"/>
      <c r="G12" s="6" t="s">
        <v>361</v>
      </c>
      <c r="H12" s="6" t="s">
        <v>362</v>
      </c>
      <c r="I12" s="4"/>
      <c r="J12" s="6">
        <f>IF(I12&gt;0,PRODUCT(1535,I12),"")</f>
      </c>
    </row>
    <row r="13" spans="1:10" ht="15" customHeight="1">
      <c r="A13" s="4"/>
      <c r="B13" s="4"/>
      <c r="C13" s="4"/>
      <c r="D13" s="7"/>
      <c r="E13" s="4"/>
      <c r="F13"/>
      <c r="G13" s="6" t="s">
        <v>363</v>
      </c>
      <c r="H13" s="6" t="s">
        <v>364</v>
      </c>
      <c r="I13" s="4"/>
      <c r="J13" s="6">
        <f>IF(I13&gt;0,PRODUCT(12980,I13),"")</f>
      </c>
    </row>
    <row r="14" spans="1:10" ht="15" customHeight="1">
      <c r="A14" s="4"/>
      <c r="B14" s="4"/>
      <c r="C14" s="4"/>
      <c r="D14" s="7"/>
      <c r="E14" s="4"/>
      <c r="F14"/>
      <c r="G14" s="6" t="s">
        <v>365</v>
      </c>
      <c r="H14" s="6" t="s">
        <v>366</v>
      </c>
      <c r="I14" s="4"/>
      <c r="J14" s="6">
        <f>IF(I14&gt;0,PRODUCT(215,I14),"")</f>
      </c>
    </row>
    <row r="15" spans="1:10" ht="16" customHeight="1">
      <c r="A15" s="4"/>
      <c r="B15" s="4"/>
      <c r="C15" s="4"/>
      <c r="D15" s="7"/>
      <c r="E15" s="4"/>
      <c r="F15"/>
      <c r="G15" s="6" t="s">
        <v>367</v>
      </c>
      <c r="H15" s="6" t="s">
        <v>368</v>
      </c>
      <c r="I15" s="4"/>
      <c r="J15" s="6">
        <f>IF(I15&gt;0,PRODUCT(159020,I15),"")</f>
      </c>
    </row>
    <row r="16" spans="1:10" s="1" customFormat="1" customHeight="1">
      <c r="A16" s="3" t="s">
        <v>369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ht="18" customHeight="1">
      <c r="A17" s="4" t="s">
        <v>370</v>
      </c>
      <c r="B17" s="4" t="s">
        <v>371</v>
      </c>
      <c r="C17" s="4"/>
      <c r="D17" s="5" t="s">
        <v>372</v>
      </c>
      <c r="E17" s="4"/>
      <c r="F17" t="s">
        <v>373</v>
      </c>
      <c r="G17" s="6" t="s">
        <v>374</v>
      </c>
      <c r="H17" s="6" t="s">
        <v>375</v>
      </c>
      <c r="I17" s="4"/>
      <c r="J17" s="6">
        <f>IF(I17&gt;0,PRODUCT(180,I17),"")</f>
      </c>
    </row>
    <row r="18" spans="1:10" ht="18" customHeight="1">
      <c r="A18" s="4"/>
      <c r="B18" s="4"/>
      <c r="C18" s="4"/>
      <c r="D18" s="7"/>
      <c r="E18" s="4"/>
      <c r="F18"/>
      <c r="G18" s="6" t="s">
        <v>376</v>
      </c>
      <c r="H18" s="6" t="s">
        <v>377</v>
      </c>
      <c r="I18" s="4"/>
      <c r="J18" s="6">
        <f>IF(I18&gt;0,PRODUCT(295,I18),"")</f>
      </c>
    </row>
    <row r="19" spans="1:10" ht="18" customHeight="1">
      <c r="A19" s="4"/>
      <c r="B19" s="4"/>
      <c r="C19" s="4"/>
      <c r="D19" s="7"/>
      <c r="E19" s="4"/>
      <c r="F19"/>
      <c r="G19" s="6" t="s">
        <v>378</v>
      </c>
      <c r="H19" s="6" t="s">
        <v>379</v>
      </c>
      <c r="I19" s="4"/>
      <c r="J19" s="6">
        <f>IF(I19&gt;0,PRODUCT(126615,I19),"")</f>
      </c>
    </row>
    <row r="20" spans="1:10" ht="18" customHeight="1">
      <c r="A20" s="4"/>
      <c r="B20" s="4"/>
      <c r="C20" s="4"/>
      <c r="D20" s="7"/>
      <c r="E20" s="4"/>
      <c r="F20"/>
      <c r="G20" s="6" t="s">
        <v>380</v>
      </c>
      <c r="H20" s="6" t="s">
        <v>381</v>
      </c>
      <c r="I20" s="4"/>
      <c r="J20" s="6">
        <f>IF(I20&gt;0,PRODUCT(180,I20),"")</f>
      </c>
    </row>
    <row r="21" spans="1:10" ht="19" customHeight="1">
      <c r="A21" s="4"/>
      <c r="B21" s="4"/>
      <c r="C21" s="4"/>
      <c r="D21" s="7"/>
      <c r="E21" s="4"/>
      <c r="F21"/>
      <c r="G21" s="6" t="s">
        <v>382</v>
      </c>
      <c r="H21" s="6" t="s">
        <v>383</v>
      </c>
      <c r="I21" s="4"/>
      <c r="J21" s="6">
        <f>IF(I21&gt;0,PRODUCT(1250,I21),"")</f>
      </c>
    </row>
    <row r="22" spans="1:10" ht="18" customHeight="1">
      <c r="A22" s="4" t="s">
        <v>384</v>
      </c>
      <c r="B22" s="4" t="s">
        <v>385</v>
      </c>
      <c r="C22" s="4"/>
      <c r="D22" s="5" t="s">
        <v>386</v>
      </c>
      <c r="E22" s="4"/>
      <c r="F22" t="s">
        <v>387</v>
      </c>
      <c r="G22" s="6" t="s">
        <v>388</v>
      </c>
      <c r="H22" s="6" t="s">
        <v>389</v>
      </c>
      <c r="I22" s="4"/>
      <c r="J22" s="6">
        <f>IF(I22&gt;0,PRODUCT(126615,I22),"")</f>
      </c>
    </row>
    <row r="23" spans="1:10" ht="18" customHeight="1">
      <c r="A23" s="4"/>
      <c r="B23" s="4"/>
      <c r="C23" s="4"/>
      <c r="D23" s="7"/>
      <c r="E23" s="4"/>
      <c r="F23"/>
      <c r="G23" s="6" t="s">
        <v>390</v>
      </c>
      <c r="H23" s="6" t="s">
        <v>391</v>
      </c>
      <c r="I23" s="4"/>
      <c r="J23" s="6">
        <f>IF(I23&gt;0,PRODUCT(180,I23),"")</f>
      </c>
    </row>
    <row r="24" spans="1:10" ht="18" customHeight="1">
      <c r="A24" s="4"/>
      <c r="B24" s="4"/>
      <c r="C24" s="4"/>
      <c r="D24" s="7"/>
      <c r="E24" s="4"/>
      <c r="F24"/>
      <c r="G24" s="6" t="s">
        <v>392</v>
      </c>
      <c r="H24" s="6" t="s">
        <v>393</v>
      </c>
      <c r="I24" s="4"/>
      <c r="J24" s="6">
        <f>IF(I24&gt;0,PRODUCT(295,I24),"")</f>
      </c>
    </row>
    <row r="25" spans="1:10" ht="18" customHeight="1">
      <c r="A25" s="4"/>
      <c r="B25" s="4"/>
      <c r="C25" s="4"/>
      <c r="D25" s="7"/>
      <c r="E25" s="4"/>
      <c r="F25"/>
      <c r="G25" s="6" t="s">
        <v>394</v>
      </c>
      <c r="H25" s="6" t="s">
        <v>395</v>
      </c>
      <c r="I25" s="4"/>
      <c r="J25" s="6">
        <f>IF(I25&gt;0,PRODUCT(180,I25),"")</f>
      </c>
    </row>
    <row r="26" spans="1:10" ht="19" customHeight="1">
      <c r="A26" s="4"/>
      <c r="B26" s="4"/>
      <c r="C26" s="4"/>
      <c r="D26" s="7"/>
      <c r="E26" s="4"/>
      <c r="F26"/>
      <c r="G26" s="6" t="s">
        <v>396</v>
      </c>
      <c r="H26" s="6" t="s">
        <v>397</v>
      </c>
      <c r="I26" s="4"/>
      <c r="J26" s="6">
        <f>IF(I26&gt;0,PRODUCT(1250,I26),"")</f>
      </c>
    </row>
    <row r="27" spans="1:10" ht="18" customHeight="1">
      <c r="A27" s="4" t="s">
        <v>398</v>
      </c>
      <c r="B27" s="4" t="s">
        <v>399</v>
      </c>
      <c r="C27" s="4"/>
      <c r="D27" s="5" t="s">
        <v>400</v>
      </c>
      <c r="E27" s="4"/>
      <c r="F27" t="s">
        <v>401</v>
      </c>
      <c r="G27" s="6" t="s">
        <v>402</v>
      </c>
      <c r="H27" s="6" t="s">
        <v>403</v>
      </c>
      <c r="I27" s="4"/>
      <c r="J27" s="6">
        <f>IF(I27&gt;0,PRODUCT(180,I27),"")</f>
      </c>
    </row>
    <row r="28" spans="1:10" ht="18" customHeight="1">
      <c r="A28" s="4"/>
      <c r="B28" s="4"/>
      <c r="C28" s="4"/>
      <c r="D28" s="7"/>
      <c r="E28" s="4"/>
      <c r="F28"/>
      <c r="G28" s="6" t="s">
        <v>404</v>
      </c>
      <c r="H28" s="6" t="s">
        <v>405</v>
      </c>
      <c r="I28" s="4"/>
      <c r="J28" s="6">
        <f>IF(I28&gt;0,PRODUCT(295,I28),"")</f>
      </c>
    </row>
    <row r="29" spans="1:10" ht="18" customHeight="1">
      <c r="A29" s="4"/>
      <c r="B29" s="4"/>
      <c r="C29" s="4"/>
      <c r="D29" s="7"/>
      <c r="E29" s="4"/>
      <c r="F29"/>
      <c r="G29" s="6" t="s">
        <v>406</v>
      </c>
      <c r="H29" s="6" t="s">
        <v>407</v>
      </c>
      <c r="I29" s="4"/>
      <c r="J29" s="6">
        <f>IF(I29&gt;0,PRODUCT(180,I29),"")</f>
      </c>
    </row>
    <row r="30" spans="1:10" ht="18" customHeight="1">
      <c r="A30" s="4"/>
      <c r="B30" s="4"/>
      <c r="C30" s="4"/>
      <c r="D30" s="7"/>
      <c r="E30" s="4"/>
      <c r="F30"/>
      <c r="G30" s="6" t="s">
        <v>408</v>
      </c>
      <c r="H30" s="6" t="s">
        <v>409</v>
      </c>
      <c r="I30" s="4"/>
      <c r="J30" s="6">
        <f>IF(I30&gt;0,PRODUCT(180,I30),"")</f>
      </c>
    </row>
    <row r="31" spans="1:10" ht="19" customHeight="1">
      <c r="A31" s="4"/>
      <c r="B31" s="4"/>
      <c r="C31" s="4"/>
      <c r="D31" s="7"/>
      <c r="E31" s="4"/>
      <c r="F31"/>
      <c r="G31" s="6" t="s">
        <v>410</v>
      </c>
      <c r="H31" s="6" t="s">
        <v>411</v>
      </c>
      <c r="I31" s="4"/>
      <c r="J31" s="6">
        <f>IF(I31&gt;0,PRODUCT(1250,I31),"")</f>
      </c>
    </row>
    <row r="32" spans="1:10" ht="18" customHeight="1">
      <c r="A32" s="4" t="s">
        <v>412</v>
      </c>
      <c r="B32" s="4" t="s">
        <v>413</v>
      </c>
      <c r="C32" s="4"/>
      <c r="D32" s="5" t="s">
        <v>414</v>
      </c>
      <c r="E32" s="4"/>
      <c r="F32" t="s">
        <v>415</v>
      </c>
      <c r="G32" s="6" t="s">
        <v>416</v>
      </c>
      <c r="H32" s="6" t="s">
        <v>417</v>
      </c>
      <c r="I32" s="4"/>
      <c r="J32" s="6">
        <f>IF(I32&gt;0,PRODUCT(180,I32),"")</f>
      </c>
    </row>
    <row r="33" spans="1:10" ht="18" customHeight="1">
      <c r="A33" s="4"/>
      <c r="B33" s="4"/>
      <c r="C33" s="4"/>
      <c r="D33" s="7"/>
      <c r="E33" s="4"/>
      <c r="F33"/>
      <c r="G33" s="6" t="s">
        <v>418</v>
      </c>
      <c r="H33" s="6" t="s">
        <v>419</v>
      </c>
      <c r="I33" s="4"/>
      <c r="J33" s="6">
        <f>IF(I33&gt;0,PRODUCT(295,I33),"")</f>
      </c>
    </row>
    <row r="34" spans="1:10" ht="18" customHeight="1">
      <c r="A34" s="4"/>
      <c r="B34" s="4"/>
      <c r="C34" s="4"/>
      <c r="D34" s="7"/>
      <c r="E34" s="4"/>
      <c r="F34"/>
      <c r="G34" s="6" t="s">
        <v>420</v>
      </c>
      <c r="H34" s="6" t="s">
        <v>421</v>
      </c>
      <c r="I34" s="4"/>
      <c r="J34" s="6">
        <f>IF(I34&gt;0,PRODUCT(126615,I34),"")</f>
      </c>
    </row>
    <row r="35" spans="1:10" ht="18" customHeight="1">
      <c r="A35" s="4"/>
      <c r="B35" s="4"/>
      <c r="C35" s="4"/>
      <c r="D35" s="7"/>
      <c r="E35" s="4"/>
      <c r="F35"/>
      <c r="G35" s="6" t="s">
        <v>422</v>
      </c>
      <c r="H35" s="6" t="s">
        <v>423</v>
      </c>
      <c r="I35" s="4"/>
      <c r="J35" s="6">
        <f>IF(I35&gt;0,PRODUCT(180,I35),"")</f>
      </c>
    </row>
    <row r="36" spans="1:10" ht="19" customHeight="1">
      <c r="A36" s="4"/>
      <c r="B36" s="4"/>
      <c r="C36" s="4"/>
      <c r="D36" s="7"/>
      <c r="E36" s="4"/>
      <c r="F36"/>
      <c r="G36" s="6" t="s">
        <v>424</v>
      </c>
      <c r="H36" s="6" t="s">
        <v>425</v>
      </c>
      <c r="I36" s="4"/>
      <c r="J36" s="6">
        <f>IF(I36&gt;0,PRODUCT(1250,I36),"")</f>
      </c>
    </row>
    <row r="37" spans="1:10" s="1" customFormat="1" customHeight="1">
      <c r="A37" s="3" t="s">
        <v>426</v>
      </c>
      <c r="B37" s="3"/>
      <c r="C37" s="3"/>
      <c r="D37" s="3"/>
      <c r="E37" s="3"/>
      <c r="F37" s="3"/>
      <c r="G37" s="3"/>
      <c r="H37" s="3"/>
      <c r="I37" s="3"/>
      <c r="J37" s="3"/>
    </row>
    <row r="38" spans="1:10" ht="18" customHeight="1">
      <c r="A38" s="4" t="s">
        <v>427</v>
      </c>
      <c r="B38" s="4" t="s">
        <v>428</v>
      </c>
      <c r="C38" s="4"/>
      <c r="D38" s="5" t="s">
        <v>429</v>
      </c>
      <c r="E38" s="4"/>
      <c r="F38" t="s">
        <v>430</v>
      </c>
      <c r="G38" s="6" t="s">
        <v>431</v>
      </c>
      <c r="H38" s="6" t="s">
        <v>432</v>
      </c>
      <c r="I38" s="4"/>
      <c r="J38" s="6">
        <f>IF(I38&gt;0,PRODUCT(205,I38),"")</f>
      </c>
    </row>
    <row r="39" spans="1:10" ht="18" customHeight="1">
      <c r="A39" s="4"/>
      <c r="B39" s="4"/>
      <c r="C39" s="4"/>
      <c r="D39" s="7"/>
      <c r="E39" s="4"/>
      <c r="F39"/>
      <c r="G39" s="6" t="s">
        <v>433</v>
      </c>
      <c r="H39" s="6" t="s">
        <v>434</v>
      </c>
      <c r="I39" s="4"/>
      <c r="J39" s="6">
        <f>IF(I39&gt;0,PRODUCT(340,I39),"")</f>
      </c>
    </row>
    <row r="40" spans="1:10" ht="18" customHeight="1">
      <c r="A40" s="4"/>
      <c r="B40" s="4"/>
      <c r="C40" s="4"/>
      <c r="D40" s="7"/>
      <c r="E40" s="4"/>
      <c r="F40"/>
      <c r="G40" s="6" t="s">
        <v>435</v>
      </c>
      <c r="H40" s="6" t="s">
        <v>436</v>
      </c>
      <c r="I40" s="4"/>
      <c r="J40" s="6">
        <f>IF(I40&gt;0,PRODUCT(148890,I40),"")</f>
      </c>
    </row>
    <row r="41" spans="1:10" ht="18" customHeight="1">
      <c r="A41" s="4"/>
      <c r="B41" s="4"/>
      <c r="C41" s="4"/>
      <c r="D41" s="7"/>
      <c r="E41" s="4"/>
      <c r="F41"/>
      <c r="G41" s="6" t="s">
        <v>437</v>
      </c>
      <c r="H41" s="6" t="s">
        <v>438</v>
      </c>
      <c r="I41" s="4"/>
      <c r="J41" s="6">
        <f>IF(I41&gt;0,PRODUCT(205,I41),"")</f>
      </c>
    </row>
    <row r="42" spans="1:10" ht="19" customHeight="1">
      <c r="A42" s="4"/>
      <c r="B42" s="4"/>
      <c r="C42" s="4"/>
      <c r="D42" s="7"/>
      <c r="E42" s="4"/>
      <c r="F42"/>
      <c r="G42" s="6" t="s">
        <v>439</v>
      </c>
      <c r="H42" s="6" t="s">
        <v>440</v>
      </c>
      <c r="I42" s="4"/>
      <c r="J42" s="6">
        <f>IF(I42&gt;0,PRODUCT(1445,I42),"")</f>
      </c>
    </row>
    <row r="43" spans="1:10" ht="18" customHeight="1">
      <c r="A43" s="4" t="s">
        <v>441</v>
      </c>
      <c r="B43" s="4" t="s">
        <v>442</v>
      </c>
      <c r="C43" s="4"/>
      <c r="D43" s="5" t="s">
        <v>443</v>
      </c>
      <c r="E43" s="4"/>
      <c r="F43" t="s">
        <v>444</v>
      </c>
      <c r="G43" s="6" t="s">
        <v>445</v>
      </c>
      <c r="H43" s="6" t="s">
        <v>446</v>
      </c>
      <c r="I43" s="4"/>
      <c r="J43" s="6">
        <f>IF(I43&gt;0,PRODUCT(205,I43),"")</f>
      </c>
    </row>
    <row r="44" spans="1:10" ht="18" customHeight="1">
      <c r="A44" s="4"/>
      <c r="B44" s="4"/>
      <c r="C44" s="4"/>
      <c r="D44" s="7"/>
      <c r="E44" s="4"/>
      <c r="F44"/>
      <c r="G44" s="6" t="s">
        <v>447</v>
      </c>
      <c r="H44" s="6" t="s">
        <v>448</v>
      </c>
      <c r="I44" s="4"/>
      <c r="J44" s="6">
        <f>IF(I44&gt;0,PRODUCT(340,I44),"")</f>
      </c>
    </row>
    <row r="45" spans="1:10" ht="18" customHeight="1">
      <c r="A45" s="4"/>
      <c r="B45" s="4"/>
      <c r="C45" s="4"/>
      <c r="D45" s="7"/>
      <c r="E45" s="4"/>
      <c r="F45"/>
      <c r="G45" s="6" t="s">
        <v>449</v>
      </c>
      <c r="H45" s="6" t="s">
        <v>450</v>
      </c>
      <c r="I45" s="4"/>
      <c r="J45" s="6">
        <f>IF(I45&gt;0,PRODUCT(148890,I45),"")</f>
      </c>
    </row>
    <row r="46" spans="1:10" ht="18" customHeight="1">
      <c r="A46" s="4"/>
      <c r="B46" s="4"/>
      <c r="C46" s="4"/>
      <c r="D46" s="7"/>
      <c r="E46" s="4"/>
      <c r="F46"/>
      <c r="G46" s="6" t="s">
        <v>451</v>
      </c>
      <c r="H46" s="6" t="s">
        <v>452</v>
      </c>
      <c r="I46" s="4"/>
      <c r="J46" s="6">
        <f>IF(I46&gt;0,PRODUCT(205,I46),"")</f>
      </c>
    </row>
    <row r="47" spans="1:10" ht="19" customHeight="1">
      <c r="A47" s="4"/>
      <c r="B47" s="4"/>
      <c r="C47" s="4"/>
      <c r="D47" s="7"/>
      <c r="E47" s="4"/>
      <c r="F47"/>
      <c r="G47" s="6" t="s">
        <v>453</v>
      </c>
      <c r="H47" s="6" t="s">
        <v>454</v>
      </c>
      <c r="I47" s="4"/>
      <c r="J47" s="6">
        <f>IF(I47&gt;0,PRODUCT(1445,I47),"")</f>
      </c>
    </row>
    <row r="48" spans="1:10" ht="18" customHeight="1">
      <c r="A48" s="4" t="s">
        <v>455</v>
      </c>
      <c r="B48" s="4" t="s">
        <v>456</v>
      </c>
      <c r="C48" s="4"/>
      <c r="D48" s="5" t="s">
        <v>457</v>
      </c>
      <c r="E48" s="4"/>
      <c r="F48" t="s">
        <v>458</v>
      </c>
      <c r="G48" s="6" t="s">
        <v>459</v>
      </c>
      <c r="H48" s="6" t="s">
        <v>460</v>
      </c>
      <c r="I48" s="4"/>
      <c r="J48" s="6">
        <f>IF(I48&gt;0,PRODUCT(205,I48),"")</f>
      </c>
    </row>
    <row r="49" spans="1:10" ht="18" customHeight="1">
      <c r="A49" s="4"/>
      <c r="B49" s="4"/>
      <c r="C49" s="4"/>
      <c r="D49" s="7"/>
      <c r="E49" s="4"/>
      <c r="F49"/>
      <c r="G49" s="6" t="s">
        <v>461</v>
      </c>
      <c r="H49" s="6" t="s">
        <v>462</v>
      </c>
      <c r="I49" s="4"/>
      <c r="J49" s="6">
        <f>IF(I49&gt;0,PRODUCT(340,I49),"")</f>
      </c>
    </row>
    <row r="50" spans="1:10" ht="18" customHeight="1">
      <c r="A50" s="4"/>
      <c r="B50" s="4"/>
      <c r="C50" s="4"/>
      <c r="D50" s="7"/>
      <c r="E50" s="4"/>
      <c r="F50"/>
      <c r="G50" s="6" t="s">
        <v>463</v>
      </c>
      <c r="H50" s="6" t="s">
        <v>464</v>
      </c>
      <c r="I50" s="4"/>
      <c r="J50" s="6">
        <f>IF(I50&gt;0,PRODUCT(205,I50),"")</f>
      </c>
    </row>
    <row r="51" spans="1:10" ht="18" customHeight="1">
      <c r="A51" s="4"/>
      <c r="B51" s="4"/>
      <c r="C51" s="4"/>
      <c r="D51" s="7"/>
      <c r="E51" s="4"/>
      <c r="F51"/>
      <c r="G51" s="6" t="s">
        <v>465</v>
      </c>
      <c r="H51" s="6" t="s">
        <v>466</v>
      </c>
      <c r="I51" s="4"/>
      <c r="J51" s="6">
        <f>IF(I51&gt;0,PRODUCT(205,I51),"")</f>
      </c>
    </row>
    <row r="52" spans="1:10" ht="19" customHeight="1">
      <c r="A52" s="4"/>
      <c r="B52" s="4"/>
      <c r="C52" s="4"/>
      <c r="D52" s="7"/>
      <c r="E52" s="4"/>
      <c r="F52"/>
      <c r="G52" s="6" t="s">
        <v>467</v>
      </c>
      <c r="H52" s="6" t="s">
        <v>468</v>
      </c>
      <c r="I52" s="4"/>
      <c r="J52" s="6">
        <f>IF(I52&gt;0,PRODUCT(1445,I52),"")</f>
      </c>
    </row>
    <row r="53" spans="1:10" s="1" customFormat="1" customHeight="1">
      <c r="A53" s="3" t="s">
        <v>469</v>
      </c>
      <c r="B53" s="3"/>
      <c r="C53" s="3"/>
      <c r="D53" s="3"/>
      <c r="E53" s="3"/>
      <c r="F53" s="3"/>
      <c r="G53" s="3"/>
      <c r="H53" s="3"/>
      <c r="I53" s="3"/>
      <c r="J53" s="3"/>
    </row>
    <row r="54" spans="1:10" ht="15" customHeight="1">
      <c r="A54" s="4" t="s">
        <v>470</v>
      </c>
      <c r="B54" s="4" t="s">
        <v>471</v>
      </c>
      <c r="C54" s="4"/>
      <c r="D54" s="5" t="s">
        <v>472</v>
      </c>
      <c r="E54" s="4"/>
      <c r="F54" t="s">
        <v>473</v>
      </c>
      <c r="G54" s="6" t="s">
        <v>474</v>
      </c>
      <c r="H54" s="6" t="s">
        <v>475</v>
      </c>
      <c r="I54" s="4"/>
      <c r="J54" s="6">
        <f>IF(I54&gt;0,PRODUCT(170,I54),"")</f>
      </c>
    </row>
    <row r="55" spans="1:10" ht="15" customHeight="1">
      <c r="A55" s="4"/>
      <c r="B55" s="4"/>
      <c r="C55" s="4"/>
      <c r="D55" s="7"/>
      <c r="E55" s="4"/>
      <c r="F55"/>
      <c r="G55" s="6" t="s">
        <v>476</v>
      </c>
      <c r="H55" s="6" t="s">
        <v>477</v>
      </c>
      <c r="I55" s="4"/>
      <c r="J55" s="6">
        <f>IF(I55&gt;0,PRODUCT(280,I55),"")</f>
      </c>
    </row>
    <row r="56" spans="1:10" ht="15" customHeight="1">
      <c r="A56" s="4"/>
      <c r="B56" s="4"/>
      <c r="C56" s="4"/>
      <c r="D56" s="7"/>
      <c r="E56" s="4"/>
      <c r="F56"/>
      <c r="G56" s="6" t="s">
        <v>478</v>
      </c>
      <c r="H56" s="6" t="s">
        <v>479</v>
      </c>
      <c r="I56" s="4"/>
      <c r="J56" s="6">
        <f>IF(I56&gt;0,PRODUCT(120015,I56),"")</f>
      </c>
    </row>
    <row r="57" spans="1:10" ht="15" customHeight="1">
      <c r="A57" s="4"/>
      <c r="B57" s="4"/>
      <c r="C57" s="4"/>
      <c r="D57" s="7"/>
      <c r="E57" s="4"/>
      <c r="F57"/>
      <c r="G57" s="6" t="s">
        <v>480</v>
      </c>
      <c r="H57" s="6" t="s">
        <v>481</v>
      </c>
      <c r="I57" s="4"/>
      <c r="J57" s="6">
        <f>IF(I57&gt;0,PRODUCT(10225,I57),"")</f>
      </c>
    </row>
    <row r="58" spans="1:10" ht="15" customHeight="1">
      <c r="A58" s="4"/>
      <c r="B58" s="4"/>
      <c r="C58" s="4"/>
      <c r="D58" s="7"/>
      <c r="E58" s="4"/>
      <c r="F58"/>
      <c r="G58" s="6" t="s">
        <v>482</v>
      </c>
      <c r="H58" s="6" t="s">
        <v>483</v>
      </c>
      <c r="I58" s="4"/>
      <c r="J58" s="6">
        <f>IF(I58&gt;0,PRODUCT(1175,I58),"")</f>
      </c>
    </row>
    <row r="59" spans="1:10" ht="16" customHeight="1">
      <c r="A59" s="4"/>
      <c r="B59" s="4"/>
      <c r="C59" s="4"/>
      <c r="D59" s="7"/>
      <c r="E59" s="4"/>
      <c r="F59"/>
      <c r="G59" s="6" t="s">
        <v>484</v>
      </c>
      <c r="H59" s="6" t="s">
        <v>485</v>
      </c>
      <c r="I59" s="4"/>
      <c r="J59" s="6">
        <f>IF(I59&gt;0,PRODUCT(170,I59),"")</f>
      </c>
    </row>
    <row r="60" spans="1:10" ht="18" customHeight="1">
      <c r="A60" s="4" t="s">
        <v>486</v>
      </c>
      <c r="B60" s="4" t="s">
        <v>487</v>
      </c>
      <c r="C60" s="4"/>
      <c r="D60" s="5" t="s">
        <v>488</v>
      </c>
      <c r="E60" s="4"/>
      <c r="F60" t="s">
        <v>489</v>
      </c>
      <c r="G60" s="6" t="s">
        <v>490</v>
      </c>
      <c r="H60" s="6" t="s">
        <v>491</v>
      </c>
      <c r="I60" s="4"/>
      <c r="J60" s="6">
        <f>IF(I60&gt;0,PRODUCT(230,I60),"")</f>
      </c>
    </row>
    <row r="61" spans="1:10" ht="18" customHeight="1">
      <c r="A61" s="4"/>
      <c r="B61" s="4"/>
      <c r="C61" s="4"/>
      <c r="D61" s="7"/>
      <c r="E61" s="4"/>
      <c r="F61"/>
      <c r="G61" s="6" t="s">
        <v>492</v>
      </c>
      <c r="H61" s="6" t="s">
        <v>493</v>
      </c>
      <c r="I61" s="4"/>
      <c r="J61" s="6">
        <f>IF(I61&gt;0,PRODUCT(140,I61),"")</f>
      </c>
    </row>
    <row r="62" spans="1:10" ht="18" customHeight="1">
      <c r="A62" s="4"/>
      <c r="B62" s="4"/>
      <c r="C62" s="4"/>
      <c r="D62" s="7"/>
      <c r="E62" s="4"/>
      <c r="F62"/>
      <c r="G62" s="6" t="s">
        <v>494</v>
      </c>
      <c r="H62" s="6" t="s">
        <v>495</v>
      </c>
      <c r="I62" s="4"/>
      <c r="J62" s="6">
        <f>IF(I62&gt;0,PRODUCT(140,I62),"")</f>
      </c>
    </row>
    <row r="63" spans="1:10" ht="18" customHeight="1">
      <c r="A63" s="4"/>
      <c r="B63" s="4"/>
      <c r="C63" s="4"/>
      <c r="D63" s="7"/>
      <c r="E63" s="4"/>
      <c r="F63"/>
      <c r="G63" s="6" t="s">
        <v>496</v>
      </c>
      <c r="H63" s="6" t="s">
        <v>497</v>
      </c>
      <c r="I63" s="4"/>
      <c r="J63" s="6">
        <f>IF(I63&gt;0,PRODUCT(140,I63),"")</f>
      </c>
    </row>
    <row r="64" spans="1:10" ht="19" customHeight="1">
      <c r="A64" s="4"/>
      <c r="B64" s="4"/>
      <c r="C64" s="4"/>
      <c r="D64" s="7"/>
      <c r="E64" s="4"/>
      <c r="F64"/>
      <c r="G64" s="6" t="s">
        <v>498</v>
      </c>
      <c r="H64" s="6" t="s">
        <v>499</v>
      </c>
      <c r="I64" s="4"/>
      <c r="J64" s="6">
        <f>IF(I64&gt;0,PRODUCT(935,I64),"")</f>
      </c>
    </row>
    <row r="65" spans="1:10" s="10" customFormat="1" customHeight="1">
      <c r="A65" s="11">
        <f>CONCATENATE("Общая сумма: ",SUM(J2:J18)," руб.")</f>
      </c>
      <c r="B65" s="11"/>
      <c r="C65" s="11"/>
      <c r="D65" s="11"/>
      <c r="E65" s="11"/>
      <c r="F65" s="11"/>
      <c r="G65" s="11"/>
      <c r="H65" s="11"/>
      <c r="I65" s="11"/>
      <c r="J65" s="11"/>
    </row>
  </sheetData>
  <sheetProtection formatCells="0" formatColumns="0" formatRows="0" insertColumns="0" insertRows="0" insertHyperlinks="0" deleteColumns="0" deleteRows="0" sort="0" autoFilter="0" pivotTables="0"/>
  <mergeCells count="73">
    <mergeCell ref="A2:J2"/>
    <mergeCell ref="A3:J3"/>
    <mergeCell ref="A4:J4"/>
    <mergeCell ref="A5:A9"/>
    <mergeCell ref="B5:B9"/>
    <mergeCell ref="C5:C9"/>
    <mergeCell ref="D5:D9"/>
    <mergeCell ref="E5:E9"/>
    <mergeCell ref="F5:F9"/>
    <mergeCell ref="A10:A15"/>
    <mergeCell ref="B10:B15"/>
    <mergeCell ref="C10:C15"/>
    <mergeCell ref="D10:D15"/>
    <mergeCell ref="E10:E15"/>
    <mergeCell ref="F10:F15"/>
    <mergeCell ref="A16:J16"/>
    <mergeCell ref="A17:A21"/>
    <mergeCell ref="B17:B21"/>
    <mergeCell ref="C17:C21"/>
    <mergeCell ref="D17:D21"/>
    <mergeCell ref="E17:E21"/>
    <mergeCell ref="F17:F21"/>
    <mergeCell ref="A22:A26"/>
    <mergeCell ref="B22:B26"/>
    <mergeCell ref="C22:C26"/>
    <mergeCell ref="D22:D26"/>
    <mergeCell ref="E22:E26"/>
    <mergeCell ref="F22:F26"/>
    <mergeCell ref="A27:A31"/>
    <mergeCell ref="B27:B31"/>
    <mergeCell ref="C27:C31"/>
    <mergeCell ref="D27:D31"/>
    <mergeCell ref="E27:E31"/>
    <mergeCell ref="F27:F31"/>
    <mergeCell ref="A32:A36"/>
    <mergeCell ref="B32:B36"/>
    <mergeCell ref="C32:C36"/>
    <mergeCell ref="D32:D36"/>
    <mergeCell ref="E32:E36"/>
    <mergeCell ref="F32:F36"/>
    <mergeCell ref="A37:J37"/>
    <mergeCell ref="A38:A42"/>
    <mergeCell ref="B38:B42"/>
    <mergeCell ref="C38:C42"/>
    <mergeCell ref="D38:D42"/>
    <mergeCell ref="E38:E42"/>
    <mergeCell ref="F38:F42"/>
    <mergeCell ref="A43:A47"/>
    <mergeCell ref="B43:B47"/>
    <mergeCell ref="C43:C47"/>
    <mergeCell ref="D43:D47"/>
    <mergeCell ref="E43:E47"/>
    <mergeCell ref="F43:F47"/>
    <mergeCell ref="A48:A52"/>
    <mergeCell ref="B48:B52"/>
    <mergeCell ref="C48:C52"/>
    <mergeCell ref="D48:D52"/>
    <mergeCell ref="E48:E52"/>
    <mergeCell ref="F48:F52"/>
    <mergeCell ref="A53:J53"/>
    <mergeCell ref="A54:A59"/>
    <mergeCell ref="B54:B59"/>
    <mergeCell ref="C54:C59"/>
    <mergeCell ref="D54:D59"/>
    <mergeCell ref="E54:E59"/>
    <mergeCell ref="F54:F59"/>
    <mergeCell ref="A60:A64"/>
    <mergeCell ref="B60:B64"/>
    <mergeCell ref="C60:C64"/>
    <mergeCell ref="D60:D64"/>
    <mergeCell ref="E60:E64"/>
    <mergeCell ref="F60:F64"/>
    <mergeCell ref="A65:J65"/>
  </mergeCells>
  <hyperlinks>
    <hyperlink ref="D5" r:id="rId2"/>
    <hyperlink ref="D10" r:id="rId3"/>
    <hyperlink ref="D17" r:id="rId4"/>
    <hyperlink ref="D22" r:id="rId5"/>
    <hyperlink ref="D27" r:id="rId6"/>
    <hyperlink ref="D32" r:id="rId7"/>
    <hyperlink ref="D38" r:id="rId8"/>
    <hyperlink ref="D43" r:id="rId9"/>
    <hyperlink ref="D48" r:id="rId10"/>
    <hyperlink ref="D54" r:id="rId11"/>
    <hyperlink ref="D60" r:id="rId12"/>
  </hyperlinks>
  <pageMargins left="0.7" right="0.7" top="0.75" bottom="0.75" header="0.3" footer="0.3"/>
  <pageSetup orientation="portrait"/>
  <headerFooter alignWithMargins="0"/>
  <ignoredErrors>
    <ignoredError sqref="A1:J65" numberStoredAsTex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40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500</v>
      </c>
      <c r="B1" s="3" t="s">
        <v>501</v>
      </c>
      <c r="C1" s="3" t="s">
        <v>502</v>
      </c>
      <c r="D1" s="3" t="s">
        <v>503</v>
      </c>
      <c r="E1" s="3" t="s">
        <v>504</v>
      </c>
      <c r="F1" s="3" t="s">
        <v>505</v>
      </c>
      <c r="G1" s="3" t="s">
        <v>506</v>
      </c>
      <c r="H1" s="3" t="s">
        <v>507</v>
      </c>
      <c r="I1" s="3" t="s">
        <v>508</v>
      </c>
      <c r="J1" s="3" t="s">
        <v>509</v>
      </c>
    </row>
    <row r="2" spans="1:10" s="1" customFormat="1" customHeight="1">
      <c r="A2" s="3" t="s">
        <v>510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511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512</v>
      </c>
      <c r="B4" s="3"/>
      <c r="C4" s="3"/>
      <c r="D4" s="3"/>
      <c r="E4" s="3"/>
      <c r="F4" s="3"/>
      <c r="G4" s="3"/>
      <c r="H4" s="3"/>
      <c r="I4" s="3"/>
      <c r="J4" s="3"/>
    </row>
    <row r="5" spans="1:10" ht="91" customHeight="1">
      <c r="A5" s="4" t="s">
        <v>513</v>
      </c>
      <c r="B5" s="4" t="s">
        <v>514</v>
      </c>
      <c r="C5" s="4"/>
      <c r="D5" s="5" t="s">
        <v>515</v>
      </c>
      <c r="E5" s="4"/>
      <c r="F5"/>
      <c r="G5" s="6" t="s">
        <v>516</v>
      </c>
      <c r="H5" s="6" t="s">
        <v>517</v>
      </c>
      <c r="I5" s="4"/>
      <c r="J5" s="6">
        <f>IF(I5&gt;0,PRODUCT(4480,I5),"")</f>
      </c>
    </row>
    <row r="6" spans="1:10" ht="77.8" customHeight="1">
      <c r="A6" s="4" t="s">
        <v>518</v>
      </c>
      <c r="B6" s="4" t="s">
        <v>519</v>
      </c>
      <c r="C6" s="4"/>
      <c r="D6" s="5" t="s">
        <v>520</v>
      </c>
      <c r="E6" s="4"/>
      <c r="F6"/>
      <c r="G6" s="6" t="s">
        <v>521</v>
      </c>
      <c r="H6" s="6" t="s">
        <v>522</v>
      </c>
      <c r="I6" s="4"/>
      <c r="J6" s="6">
        <f>IF(I6&gt;0,PRODUCT(5520,I6),"")</f>
      </c>
    </row>
    <row r="7" spans="1:10" ht="91" customHeight="1">
      <c r="A7" s="4" t="s">
        <v>523</v>
      </c>
      <c r="B7" s="4" t="s">
        <v>524</v>
      </c>
      <c r="C7" s="4"/>
      <c r="D7" s="5" t="s">
        <v>525</v>
      </c>
      <c r="E7" s="4"/>
      <c r="F7"/>
      <c r="G7" s="6" t="s">
        <v>526</v>
      </c>
      <c r="H7" s="6" t="s">
        <v>527</v>
      </c>
      <c r="I7" s="4"/>
      <c r="J7" s="6">
        <f>IF(I7&gt;0,PRODUCT(4740,I7),"")</f>
      </c>
    </row>
    <row r="8" spans="1:10" s="1" customFormat="1" customHeight="1">
      <c r="A8" s="3" t="s">
        <v>528</v>
      </c>
      <c r="B8" s="3"/>
      <c r="C8" s="3"/>
      <c r="D8" s="3"/>
      <c r="E8" s="3"/>
      <c r="F8" s="3"/>
      <c r="G8" s="3"/>
      <c r="H8" s="3"/>
      <c r="I8" s="3"/>
      <c r="J8" s="3"/>
    </row>
    <row r="9" spans="1:10" s="1" customFormat="1" customHeight="1">
      <c r="A9" s="3" t="s">
        <v>529</v>
      </c>
      <c r="B9" s="3"/>
      <c r="C9" s="3"/>
      <c r="D9" s="3"/>
      <c r="E9" s="3"/>
      <c r="F9" s="3"/>
      <c r="G9" s="3"/>
      <c r="H9" s="3"/>
      <c r="I9" s="3"/>
      <c r="J9" s="3"/>
    </row>
    <row r="10" spans="1:10" ht="51.4" customHeight="1">
      <c r="A10" s="4" t="s">
        <v>530</v>
      </c>
      <c r="B10" s="4"/>
      <c r="C10" s="4"/>
      <c r="D10" s="5" t="s">
        <v>531</v>
      </c>
      <c r="E10" s="4" t="s">
        <v>532</v>
      </c>
      <c r="F10" t="s">
        <v>533</v>
      </c>
      <c r="G10" s="6" t="s">
        <v>534</v>
      </c>
      <c r="H10" s="6" t="s">
        <v>535</v>
      </c>
      <c r="I10" s="4"/>
      <c r="J10" s="6">
        <f>IF(I10&gt;0,IF(AND(I10&gt;=1,I10&lt;=2),PRODUCT(18500,I10),IF(AND(I10&gt;=3,I10&lt;=9),PRODUCT(18250,I10),IF(I10&gt;=10,PRODUCT(18000,I10),""))),"")</f>
      </c>
    </row>
    <row r="11" spans="1:10" s="1" customFormat="1" customHeight="1">
      <c r="A11" s="3" t="s">
        <v>536</v>
      </c>
      <c r="B11" s="3"/>
      <c r="C11" s="3"/>
      <c r="D11" s="3"/>
      <c r="E11" s="3"/>
      <c r="F11" s="3"/>
      <c r="G11" s="3"/>
      <c r="H11" s="3"/>
      <c r="I11" s="3"/>
      <c r="J11" s="3"/>
    </row>
    <row r="12" spans="1:10" ht="51.4" customHeight="1">
      <c r="A12" s="4" t="s">
        <v>537</v>
      </c>
      <c r="B12" s="4"/>
      <c r="C12" s="4"/>
      <c r="D12" s="5" t="s">
        <v>538</v>
      </c>
      <c r="E12" s="4" t="s">
        <v>539</v>
      </c>
      <c r="F12"/>
      <c r="G12" s="6" t="s">
        <v>540</v>
      </c>
      <c r="H12" s="6"/>
      <c r="I12" s="4"/>
      <c r="J12" s="6"/>
    </row>
    <row r="13" spans="1:10" s="1" customFormat="1" customHeight="1">
      <c r="A13" s="3" t="s">
        <v>541</v>
      </c>
      <c r="B13" s="3"/>
      <c r="C13" s="3"/>
      <c r="D13" s="3"/>
      <c r="E13" s="3"/>
      <c r="F13" s="3"/>
      <c r="G13" s="3"/>
      <c r="H13" s="3"/>
      <c r="I13" s="3"/>
      <c r="J13" s="3"/>
    </row>
    <row r="14" spans="1:10" ht="45.5" customHeight="1">
      <c r="A14" s="4" t="s">
        <v>542</v>
      </c>
      <c r="B14" s="4"/>
      <c r="C14" s="4"/>
      <c r="D14" s="5" t="s">
        <v>543</v>
      </c>
      <c r="E14" s="4" t="s">
        <v>544</v>
      </c>
      <c r="F14"/>
      <c r="G14" s="6" t="s">
        <v>545</v>
      </c>
      <c r="H14" s="6"/>
      <c r="I14" s="4"/>
      <c r="J14" s="6"/>
    </row>
    <row r="15" spans="1:10" ht="45.5" customHeight="1">
      <c r="A15" s="4"/>
      <c r="B15" s="4"/>
      <c r="C15" s="4"/>
      <c r="D15" s="7"/>
      <c r="E15" s="4"/>
      <c r="F15"/>
      <c r="G15" s="6" t="s">
        <v>546</v>
      </c>
      <c r="H15" s="6"/>
      <c r="I15" s="4"/>
      <c r="J15" s="6"/>
    </row>
    <row r="16" spans="1:10" s="1" customFormat="1" customHeight="1">
      <c r="A16" s="3" t="s">
        <v>547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ht="25.5" customHeight="1">
      <c r="A17" s="4" t="s">
        <v>548</v>
      </c>
      <c r="B17" s="4"/>
      <c r="C17" s="4"/>
      <c r="D17" s="5" t="s">
        <v>549</v>
      </c>
      <c r="E17" s="4" t="s">
        <v>550</v>
      </c>
      <c r="F17"/>
      <c r="G17" s="6" t="s">
        <v>551</v>
      </c>
      <c r="H17" s="6"/>
      <c r="I17" s="4"/>
      <c r="J17" s="6"/>
    </row>
    <row r="18" spans="1:10" ht="25.9" customHeight="1">
      <c r="A18" s="4"/>
      <c r="B18" s="4"/>
      <c r="C18" s="4"/>
      <c r="D18" s="7"/>
      <c r="E18" s="4"/>
      <c r="F18"/>
      <c r="G18" s="6" t="s">
        <v>552</v>
      </c>
      <c r="H18" s="6"/>
      <c r="I18" s="4"/>
      <c r="J18" s="6"/>
    </row>
    <row r="19" spans="1:10" s="1" customFormat="1" customHeight="1">
      <c r="A19" s="3" t="s">
        <v>553</v>
      </c>
      <c r="B19" s="3"/>
      <c r="C19" s="3"/>
      <c r="D19" s="3"/>
      <c r="E19" s="3"/>
      <c r="F19" s="3"/>
      <c r="G19" s="3"/>
      <c r="H19" s="3"/>
      <c r="I19" s="3"/>
      <c r="J19" s="3"/>
    </row>
    <row r="20" spans="1:10" ht="45.5" customHeight="1">
      <c r="A20" s="4" t="s">
        <v>554</v>
      </c>
      <c r="B20" s="4"/>
      <c r="C20" s="4"/>
      <c r="D20" s="5" t="s">
        <v>555</v>
      </c>
      <c r="E20" s="4" t="s">
        <v>556</v>
      </c>
      <c r="F20"/>
      <c r="G20" s="6" t="s">
        <v>557</v>
      </c>
      <c r="H20" s="6" t="s">
        <v>558</v>
      </c>
      <c r="I20" s="4"/>
      <c r="J20" s="6">
        <f>IF(I20&gt;0,PRODUCT(15500,I20),"")</f>
      </c>
    </row>
    <row r="21" spans="1:10" ht="45.5" customHeight="1">
      <c r="A21" s="4"/>
      <c r="B21" s="4"/>
      <c r="C21" s="4"/>
      <c r="D21" s="7"/>
      <c r="E21" s="4"/>
      <c r="F21"/>
      <c r="G21" s="6" t="s">
        <v>559</v>
      </c>
      <c r="H21" s="6" t="s">
        <v>560</v>
      </c>
      <c r="I21" s="4"/>
      <c r="J21" s="6">
        <f>IF(I21&gt;0,PRODUCT(610000,I21),"")</f>
      </c>
    </row>
    <row r="22" spans="1:10" s="1" customFormat="1" customHeight="1">
      <c r="A22" s="3" t="s">
        <v>561</v>
      </c>
      <c r="B22" s="3"/>
      <c r="C22" s="3"/>
      <c r="D22" s="3"/>
      <c r="E22" s="3"/>
      <c r="F22" s="3"/>
      <c r="G22" s="3"/>
      <c r="H22" s="3"/>
      <c r="I22" s="3"/>
      <c r="J22" s="3"/>
    </row>
    <row r="23" spans="1:10" s="1" customFormat="1" customHeight="1">
      <c r="A23" s="3" t="s">
        <v>562</v>
      </c>
      <c r="B23" s="3"/>
      <c r="C23" s="3"/>
      <c r="D23" s="3"/>
      <c r="E23" s="3"/>
      <c r="F23" s="3"/>
      <c r="G23" s="3"/>
      <c r="H23" s="3"/>
      <c r="I23" s="3"/>
      <c r="J23" s="3"/>
    </row>
    <row r="24" spans="1:10" ht="51.4" customHeight="1">
      <c r="A24" s="4" t="s">
        <v>563</v>
      </c>
      <c r="B24" s="4"/>
      <c r="C24" s="4"/>
      <c r="D24" s="5" t="s">
        <v>564</v>
      </c>
      <c r="E24" s="4" t="s">
        <v>565</v>
      </c>
      <c r="F24" t="s">
        <v>566</v>
      </c>
      <c r="G24" s="6" t="s">
        <v>567</v>
      </c>
      <c r="H24" s="6" t="s">
        <v>568</v>
      </c>
      <c r="I24" s="4"/>
      <c r="J24" s="6">
        <f>IF(I24&gt;0,IF(AND(I24&gt;=1,I24&lt;=2),PRODUCT(14300,I24),IF(AND(I24&gt;=3,I24&lt;=9),PRODUCT(14100,I24),IF(I24&gt;=10,PRODUCT(13900,I24),""))),"")</f>
      </c>
    </row>
    <row r="25" spans="1:10" ht="51.4" customHeight="1">
      <c r="A25" s="4" t="s">
        <v>569</v>
      </c>
      <c r="B25" s="4"/>
      <c r="C25" s="4"/>
      <c r="D25" s="5" t="s">
        <v>570</v>
      </c>
      <c r="E25" s="4" t="s">
        <v>571</v>
      </c>
      <c r="F25" t="s">
        <v>572</v>
      </c>
      <c r="G25" s="6" t="s">
        <v>573</v>
      </c>
      <c r="H25" s="6"/>
      <c r="I25" s="4"/>
      <c r="J25" s="6"/>
    </row>
    <row r="26" spans="1:10" ht="25.5" customHeight="1">
      <c r="A26" s="4" t="s">
        <v>574</v>
      </c>
      <c r="B26" s="4"/>
      <c r="C26" s="4"/>
      <c r="D26" s="5" t="s">
        <v>575</v>
      </c>
      <c r="E26" s="4" t="s">
        <v>576</v>
      </c>
      <c r="F26"/>
      <c r="G26" s="6" t="s">
        <v>577</v>
      </c>
      <c r="H26" s="6" t="s">
        <v>578</v>
      </c>
      <c r="I26" s="4"/>
      <c r="J26" s="6">
        <f>IF(I26&gt;0,PRODUCT(390,I26),"")</f>
      </c>
    </row>
    <row r="27" spans="1:10" ht="25.9" customHeight="1">
      <c r="A27" s="4"/>
      <c r="B27" s="4"/>
      <c r="C27" s="4"/>
      <c r="D27" s="7"/>
      <c r="E27" s="4"/>
      <c r="F27"/>
      <c r="G27" s="6" t="s">
        <v>579</v>
      </c>
      <c r="H27" s="6" t="s">
        <v>580</v>
      </c>
      <c r="I27" s="4"/>
      <c r="J27" s="6">
        <f>IF(I27&gt;0,IF(AND(I27&gt;=1,I27&lt;=4),PRODUCT(3625,I27),IF(AND(I27&gt;=5,I27&lt;=39),PRODUCT(3575,I27),IF(I27&gt;=40,PRODUCT(3525,I27),""))),"")</f>
      </c>
    </row>
    <row r="28" spans="1:10" s="1" customFormat="1" customHeight="1">
      <c r="A28" s="3" t="s">
        <v>581</v>
      </c>
      <c r="B28" s="3"/>
      <c r="C28" s="3"/>
      <c r="D28" s="3"/>
      <c r="E28" s="3"/>
      <c r="F28" s="3"/>
      <c r="G28" s="3"/>
      <c r="H28" s="3"/>
      <c r="I28" s="3"/>
      <c r="J28" s="3"/>
    </row>
    <row r="29" spans="1:10" ht="51.4" customHeight="1">
      <c r="A29" s="4" t="s">
        <v>582</v>
      </c>
      <c r="B29" s="4"/>
      <c r="C29" s="4"/>
      <c r="D29" s="5" t="s">
        <v>583</v>
      </c>
      <c r="E29" s="4" t="s">
        <v>584</v>
      </c>
      <c r="F29" t="s">
        <v>585</v>
      </c>
      <c r="G29" s="6" t="s">
        <v>586</v>
      </c>
      <c r="H29" s="6" t="s">
        <v>587</v>
      </c>
      <c r="I29" s="4"/>
      <c r="J29" s="6">
        <f>IF(I29&gt;0,IF(AND(I29&gt;=1,I29&lt;=2),PRODUCT(15800,I29),IF(AND(I29&gt;=3,I29&lt;=9),PRODUCT(15600,I29),IF(I29&gt;=10,PRODUCT(15400,I29),""))),"")</f>
      </c>
    </row>
    <row r="30" spans="1:10" ht="51.4" customHeight="1">
      <c r="A30" s="4" t="s">
        <v>588</v>
      </c>
      <c r="B30" s="4"/>
      <c r="C30" s="4"/>
      <c r="D30" s="5" t="s">
        <v>589</v>
      </c>
      <c r="E30" s="4" t="s">
        <v>590</v>
      </c>
      <c r="F30" t="s">
        <v>591</v>
      </c>
      <c r="G30" s="6" t="s">
        <v>592</v>
      </c>
      <c r="H30" s="6" t="s">
        <v>593</v>
      </c>
      <c r="I30" s="4"/>
      <c r="J30" s="6">
        <f>IF(I30&gt;0,IF(AND(I30&gt;=1,I30&lt;=4),PRODUCT(4000,I30),IF(AND(I30&gt;=5,I30&lt;=39),PRODUCT(3950,I30),IF(I30&gt;=40,PRODUCT(3900,I30),""))),"")</f>
      </c>
    </row>
    <row r="31" spans="1:10" ht="51.4" customHeight="1">
      <c r="A31" s="4" t="s">
        <v>594</v>
      </c>
      <c r="B31" s="4"/>
      <c r="C31" s="4"/>
      <c r="D31" s="5" t="s">
        <v>595</v>
      </c>
      <c r="E31" s="4" t="s">
        <v>596</v>
      </c>
      <c r="F31" t="s">
        <v>597</v>
      </c>
      <c r="G31" s="6" t="s">
        <v>598</v>
      </c>
      <c r="H31" s="6" t="s">
        <v>599</v>
      </c>
      <c r="I31" s="4"/>
      <c r="J31" s="6">
        <f>IF(I31&gt;0,IF(AND(I31&gt;=1,I31&lt;=2),PRODUCT(7650,I31),IF(AND(I31&gt;=3,I31&lt;=19),PRODUCT(7550,I31),IF(I31&gt;=20,PRODUCT(7450,I31),""))),"")</f>
      </c>
    </row>
    <row r="32" spans="1:10" ht="51.4" customHeight="1">
      <c r="A32" s="4" t="s">
        <v>600</v>
      </c>
      <c r="B32" s="4"/>
      <c r="C32" s="4"/>
      <c r="D32" s="5" t="s">
        <v>601</v>
      </c>
      <c r="E32" s="4" t="s">
        <v>602</v>
      </c>
      <c r="F32" t="s">
        <v>603</v>
      </c>
      <c r="G32" s="6" t="s">
        <v>604</v>
      </c>
      <c r="H32" s="6" t="s">
        <v>605</v>
      </c>
      <c r="I32" s="4"/>
      <c r="J32" s="6">
        <f>IF(I32&gt;0,IF(AND(I32&gt;=1,I32&lt;=13),PRODUCT(1360,I32),IF(AND(I32&gt;=14,I32&lt;=109),PRODUCT(1340,I32),IF(I32&gt;=110,PRODUCT(1325,I32),""))),"")</f>
      </c>
    </row>
    <row r="33" spans="1:10" ht="25.5" customHeight="1">
      <c r="A33" s="4" t="s">
        <v>606</v>
      </c>
      <c r="B33" s="4"/>
      <c r="C33" s="4"/>
      <c r="D33" s="5" t="s">
        <v>607</v>
      </c>
      <c r="E33" s="4" t="s">
        <v>608</v>
      </c>
      <c r="F33" t="s">
        <v>609</v>
      </c>
      <c r="G33" s="6" t="s">
        <v>610</v>
      </c>
      <c r="H33" s="6" t="s">
        <v>611</v>
      </c>
      <c r="I33" s="4"/>
      <c r="J33" s="6">
        <f>IF(I33&gt;0,PRODUCT(2715,I33),"")</f>
      </c>
    </row>
    <row r="34" spans="1:10" ht="25.9" customHeight="1">
      <c r="A34" s="4"/>
      <c r="B34" s="4"/>
      <c r="C34" s="4"/>
      <c r="D34" s="7"/>
      <c r="E34" s="4"/>
      <c r="F34"/>
      <c r="G34" s="6" t="s">
        <v>612</v>
      </c>
      <c r="H34" s="6" t="s">
        <v>613</v>
      </c>
      <c r="I34" s="4"/>
      <c r="J34" s="6">
        <f>IF(I34&gt;0,IF(AND(I34&gt;=1,I34&lt;=6),PRODUCT(2715,I34),IF(I34&gt;=56,PRODUCT(2645,I34),IF(AND(I34&gt;=7,I34&lt;=55),PRODUCT(2680,I34),""))),"")</f>
      </c>
    </row>
    <row r="35" spans="1:10" ht="25.5" customHeight="1">
      <c r="A35" s="4" t="s">
        <v>614</v>
      </c>
      <c r="B35" s="4"/>
      <c r="C35" s="4"/>
      <c r="D35" s="5" t="s">
        <v>615</v>
      </c>
      <c r="E35" s="4" t="s">
        <v>616</v>
      </c>
      <c r="F35" t="s">
        <v>617</v>
      </c>
      <c r="G35" s="6" t="s">
        <v>618</v>
      </c>
      <c r="H35" s="6" t="s">
        <v>619</v>
      </c>
      <c r="I35" s="4"/>
      <c r="J35" s="6">
        <f>IF(I35&gt;0,PRODUCT(4525,I35),"")</f>
      </c>
    </row>
    <row r="36" spans="1:10" ht="25.9" customHeight="1">
      <c r="A36" s="4"/>
      <c r="B36" s="4"/>
      <c r="C36" s="4"/>
      <c r="D36" s="7"/>
      <c r="E36" s="4"/>
      <c r="F36"/>
      <c r="G36" s="6" t="s">
        <v>620</v>
      </c>
      <c r="H36" s="6" t="s">
        <v>621</v>
      </c>
      <c r="I36" s="4"/>
      <c r="J36" s="6">
        <f>IF(I36&gt;0,IF(AND(I36&gt;=1,I36&lt;=4),PRODUCT(4525,I36),IF(AND(I36&gt;=5,I36&lt;=39),PRODUCT(4465,I36),IF(I36&gt;=40,PRODUCT(4405,I36),""))),"")</f>
      </c>
    </row>
    <row r="37" spans="1:10" ht="34.5" customHeight="1">
      <c r="A37" s="4" t="s">
        <v>622</v>
      </c>
      <c r="B37" s="4"/>
      <c r="C37" s="4"/>
      <c r="D37" s="5" t="s">
        <v>623</v>
      </c>
      <c r="E37" s="4" t="s">
        <v>624</v>
      </c>
      <c r="F37" t="s">
        <v>625</v>
      </c>
      <c r="G37" s="6" t="s">
        <v>626</v>
      </c>
      <c r="H37" s="6" t="s">
        <v>627</v>
      </c>
      <c r="I37" s="4"/>
      <c r="J37" s="6">
        <f>IF(I37&gt;0,PRODUCT(450,I37),"")</f>
      </c>
    </row>
    <row r="38" spans="1:10" ht="34.5" customHeight="1">
      <c r="A38" s="4"/>
      <c r="B38" s="4"/>
      <c r="C38" s="4"/>
      <c r="D38" s="7"/>
      <c r="E38" s="4"/>
      <c r="F38"/>
      <c r="G38" s="6" t="s">
        <v>628</v>
      </c>
      <c r="H38" s="6" t="s">
        <v>629</v>
      </c>
      <c r="I38" s="4"/>
      <c r="J38" s="6">
        <f>IF(I38&gt;0,IF(AND(I38&gt;=1,I38&lt;=4),PRODUCT(4050,I38),IF(AND(I38&gt;=5,I38&lt;=39),PRODUCT(4000,I38),IF(I38&gt;=40,PRODUCT(3950,I38),""))),"")</f>
      </c>
    </row>
    <row r="39" spans="1:10" s="1" customFormat="1" customHeight="1">
      <c r="A39" s="3" t="s">
        <v>630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s="1" customFormat="1" customHeight="1">
      <c r="A40" s="3" t="s">
        <v>631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s="1" customFormat="1" customHeight="1">
      <c r="A41" s="3" t="s">
        <v>632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ht="73" customHeight="1">
      <c r="A42" s="4" t="s">
        <v>633</v>
      </c>
      <c r="B42" s="4"/>
      <c r="C42" s="4"/>
      <c r="D42" s="5" t="s">
        <v>634</v>
      </c>
      <c r="E42" s="4" t="s">
        <v>635</v>
      </c>
      <c r="F42"/>
      <c r="G42" s="6" t="s">
        <v>636</v>
      </c>
      <c r="H42" s="6" t="s">
        <v>637</v>
      </c>
      <c r="I42" s="4"/>
      <c r="J42" s="6">
        <f>IF(I42&gt;0,PRODUCT(1562,I42),"")</f>
      </c>
    </row>
    <row r="43" spans="1:10" ht="91" customHeight="1">
      <c r="A43" s="4" t="s">
        <v>638</v>
      </c>
      <c r="B43" s="4"/>
      <c r="C43" s="4"/>
      <c r="D43" s="5" t="s">
        <v>639</v>
      </c>
      <c r="E43" s="4" t="s">
        <v>640</v>
      </c>
      <c r="F43"/>
      <c r="G43" s="6" t="s">
        <v>641</v>
      </c>
      <c r="H43" s="6" t="s">
        <v>642</v>
      </c>
      <c r="I43" s="4"/>
      <c r="J43" s="6">
        <f>IF(I43&gt;0,PRODUCT(2690,I43),"")</f>
      </c>
    </row>
    <row r="44" spans="1:10" ht="91" customHeight="1">
      <c r="A44" s="4" t="s">
        <v>643</v>
      </c>
      <c r="B44" s="4"/>
      <c r="C44" s="4"/>
      <c r="D44" s="5" t="s">
        <v>644</v>
      </c>
      <c r="E44" s="4" t="s">
        <v>645</v>
      </c>
      <c r="F44" t="s">
        <v>646</v>
      </c>
      <c r="G44" s="6" t="s">
        <v>647</v>
      </c>
      <c r="H44" s="6" t="s">
        <v>648</v>
      </c>
      <c r="I44" s="4"/>
      <c r="J44" s="6">
        <f>IF(I44&gt;0,PRODUCT(1865,07,I44),"")</f>
      </c>
    </row>
    <row r="45" spans="1:10" ht="23" customHeight="1">
      <c r="A45" s="4" t="s">
        <v>649</v>
      </c>
      <c r="B45" s="4"/>
      <c r="C45" s="4"/>
      <c r="D45" s="5" t="s">
        <v>650</v>
      </c>
      <c r="E45" s="4" t="s">
        <v>651</v>
      </c>
      <c r="F45" t="s">
        <v>652</v>
      </c>
      <c r="G45" s="6" t="s">
        <v>653</v>
      </c>
      <c r="H45" s="6" t="s">
        <v>654</v>
      </c>
      <c r="I45" s="4"/>
      <c r="J45" s="6">
        <f>IF(I45&gt;0,PRODUCT(395,2,I45),"")</f>
      </c>
    </row>
    <row r="46" spans="1:10" ht="23" customHeight="1">
      <c r="A46" s="4"/>
      <c r="B46" s="4"/>
      <c r="C46" s="4"/>
      <c r="D46" s="7"/>
      <c r="E46" s="4"/>
      <c r="F46"/>
      <c r="G46" s="6" t="s">
        <v>655</v>
      </c>
      <c r="H46" s="6" t="s">
        <v>656</v>
      </c>
      <c r="I46" s="4"/>
      <c r="J46" s="6">
        <f>IF(I46&gt;0,PRODUCT(718,I46),"")</f>
      </c>
    </row>
    <row r="47" spans="1:10" ht="23" customHeight="1">
      <c r="A47" s="4"/>
      <c r="B47" s="4"/>
      <c r="C47" s="4"/>
      <c r="D47" s="7"/>
      <c r="E47" s="4"/>
      <c r="F47"/>
      <c r="G47" s="6" t="s">
        <v>657</v>
      </c>
      <c r="H47" s="6" t="s">
        <v>658</v>
      </c>
      <c r="I47" s="4"/>
      <c r="J47" s="6">
        <f>IF(I47&gt;0,PRODUCT(1865,07,I47),"")</f>
      </c>
    </row>
    <row r="48" spans="1:10" ht="45.5" customHeight="1">
      <c r="A48" s="4" t="s">
        <v>659</v>
      </c>
      <c r="B48" s="4"/>
      <c r="C48" s="4"/>
      <c r="D48" s="5" t="s">
        <v>660</v>
      </c>
      <c r="E48" s="4" t="s">
        <v>661</v>
      </c>
      <c r="F48" t="s">
        <v>662</v>
      </c>
      <c r="G48" s="6" t="s">
        <v>663</v>
      </c>
      <c r="H48" s="6" t="s">
        <v>664</v>
      </c>
      <c r="I48" s="4"/>
      <c r="J48" s="6">
        <f>IF(I48&gt;0,PRODUCT(3240,I48),"")</f>
      </c>
    </row>
    <row r="49" spans="1:10" ht="45.5" customHeight="1">
      <c r="A49" s="4"/>
      <c r="B49" s="4"/>
      <c r="C49" s="4"/>
      <c r="D49" s="7"/>
      <c r="E49" s="4"/>
      <c r="F49"/>
      <c r="G49" s="6" t="s">
        <v>665</v>
      </c>
      <c r="H49" s="6" t="s">
        <v>666</v>
      </c>
      <c r="I49" s="4"/>
      <c r="J49" s="6">
        <f>IF(I49&gt;0,PRODUCT(6380,I49),"")</f>
      </c>
    </row>
    <row r="50" spans="1:10" s="10" customFormat="1" customHeight="1">
      <c r="A50" s="11">
        <f>CONCATENATE("Общая сумма: ",SUM(J2:J39)," руб.")</f>
      </c>
      <c r="B50" s="11"/>
      <c r="C50" s="11"/>
      <c r="D50" s="11"/>
      <c r="E50" s="11"/>
      <c r="F50" s="11"/>
      <c r="G50" s="11"/>
      <c r="H50" s="11"/>
      <c r="I50" s="11"/>
      <c r="J50" s="11"/>
    </row>
  </sheetData>
  <sheetProtection formatCells="0" formatColumns="0" formatRows="0" insertColumns="0" insertRows="0" insertHyperlinks="0" deleteColumns="0" deleteRows="0" sort="0" autoFilter="0" pivotTables="0"/>
  <mergeCells count="70">
    <mergeCell ref="A2:J2"/>
    <mergeCell ref="A3:J3"/>
    <mergeCell ref="A4:J4"/>
    <mergeCell ref="A8:J8"/>
    <mergeCell ref="A9:J9"/>
    <mergeCell ref="A11:J11"/>
    <mergeCell ref="A13:J13"/>
    <mergeCell ref="A14:A15"/>
    <mergeCell ref="B14:B15"/>
    <mergeCell ref="C14:C15"/>
    <mergeCell ref="D14:D15"/>
    <mergeCell ref="E14:E15"/>
    <mergeCell ref="F14:F15"/>
    <mergeCell ref="A16:J16"/>
    <mergeCell ref="A17:A18"/>
    <mergeCell ref="B17:B18"/>
    <mergeCell ref="C17:C18"/>
    <mergeCell ref="D17:D18"/>
    <mergeCell ref="E17:E18"/>
    <mergeCell ref="F17:F18"/>
    <mergeCell ref="A19:J19"/>
    <mergeCell ref="A20:A21"/>
    <mergeCell ref="B20:B21"/>
    <mergeCell ref="C20:C21"/>
    <mergeCell ref="D20:D21"/>
    <mergeCell ref="E20:E21"/>
    <mergeCell ref="F20:F21"/>
    <mergeCell ref="A22:J22"/>
    <mergeCell ref="A23:J23"/>
    <mergeCell ref="A26:A27"/>
    <mergeCell ref="B26:B27"/>
    <mergeCell ref="C26:C27"/>
    <mergeCell ref="D26:D27"/>
    <mergeCell ref="E26:E27"/>
    <mergeCell ref="F26:F27"/>
    <mergeCell ref="A28:J28"/>
    <mergeCell ref="A33:A34"/>
    <mergeCell ref="B33:B34"/>
    <mergeCell ref="C33:C34"/>
    <mergeCell ref="D33:D34"/>
    <mergeCell ref="E33:E34"/>
    <mergeCell ref="F33:F34"/>
    <mergeCell ref="A35:A36"/>
    <mergeCell ref="B35:B36"/>
    <mergeCell ref="C35:C36"/>
    <mergeCell ref="D35:D36"/>
    <mergeCell ref="E35:E36"/>
    <mergeCell ref="F35:F36"/>
    <mergeCell ref="A37:A38"/>
    <mergeCell ref="B37:B38"/>
    <mergeCell ref="C37:C38"/>
    <mergeCell ref="D37:D38"/>
    <mergeCell ref="E37:E38"/>
    <mergeCell ref="F37:F38"/>
    <mergeCell ref="A39:J39"/>
    <mergeCell ref="A40:J40"/>
    <mergeCell ref="A41:J41"/>
    <mergeCell ref="A45:A47"/>
    <mergeCell ref="B45:B47"/>
    <mergeCell ref="C45:C47"/>
    <mergeCell ref="D45:D47"/>
    <mergeCell ref="E45:E47"/>
    <mergeCell ref="F45:F47"/>
    <mergeCell ref="A48:A49"/>
    <mergeCell ref="B48:B49"/>
    <mergeCell ref="C48:C49"/>
    <mergeCell ref="D48:D49"/>
    <mergeCell ref="E48:E49"/>
    <mergeCell ref="F48:F49"/>
    <mergeCell ref="A50:J50"/>
  </mergeCells>
  <hyperlinks>
    <hyperlink ref="D5" r:id="rId2"/>
    <hyperlink ref="D6" r:id="rId3"/>
    <hyperlink ref="D7" r:id="rId4"/>
    <hyperlink ref="D10" r:id="rId5"/>
    <hyperlink ref="D12" r:id="rId6"/>
    <hyperlink ref="D14" r:id="rId7"/>
    <hyperlink ref="D17" r:id="rId8"/>
    <hyperlink ref="D20" r:id="rId9"/>
    <hyperlink ref="D24" r:id="rId10"/>
    <hyperlink ref="D25" r:id="rId11"/>
    <hyperlink ref="D26" r:id="rId12"/>
    <hyperlink ref="D29" r:id="rId13"/>
    <hyperlink ref="D30" r:id="rId14"/>
    <hyperlink ref="D31" r:id="rId15"/>
    <hyperlink ref="D32" r:id="rId16"/>
    <hyperlink ref="D33" r:id="rId17"/>
    <hyperlink ref="D35" r:id="rId18"/>
    <hyperlink ref="D37" r:id="rId19"/>
    <hyperlink ref="D42" r:id="rId20"/>
    <hyperlink ref="D43" r:id="rId21"/>
    <hyperlink ref="D44" r:id="rId22"/>
    <hyperlink ref="D45" r:id="rId23"/>
    <hyperlink ref="D48" r:id="rId24"/>
  </hyperlinks>
  <pageMargins left="0.7" right="0.7" top="0.75" bottom="0.75" header="0.3" footer="0.3"/>
  <pageSetup orientation="portrait"/>
  <headerFooter alignWithMargins="0"/>
  <ignoredErrors>
    <ignoredError sqref="A1:J50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57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667</v>
      </c>
      <c r="B1" s="3" t="s">
        <v>668</v>
      </c>
      <c r="C1" s="3" t="s">
        <v>669</v>
      </c>
      <c r="D1" s="3" t="s">
        <v>670</v>
      </c>
      <c r="E1" s="3" t="s">
        <v>671</v>
      </c>
      <c r="F1" s="3" t="s">
        <v>672</v>
      </c>
      <c r="G1" s="3" t="s">
        <v>673</v>
      </c>
      <c r="H1" s="3" t="s">
        <v>674</v>
      </c>
      <c r="I1" s="3" t="s">
        <v>675</v>
      </c>
      <c r="J1" s="3" t="s">
        <v>676</v>
      </c>
    </row>
    <row r="2" spans="1:10" s="1" customFormat="1" customHeight="1">
      <c r="A2" s="3" t="s">
        <v>677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678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679</v>
      </c>
      <c r="B4" s="3"/>
      <c r="C4" s="3"/>
      <c r="D4" s="3"/>
      <c r="E4" s="3"/>
      <c r="F4" s="3"/>
      <c r="G4" s="3"/>
      <c r="H4" s="3"/>
      <c r="I4" s="3"/>
      <c r="J4" s="3"/>
    </row>
    <row r="5" spans="1:10" ht="89.8" customHeight="1">
      <c r="A5" s="4" t="s">
        <v>680</v>
      </c>
      <c r="B5" s="4" t="s">
        <v>681</v>
      </c>
      <c r="C5" s="4"/>
      <c r="D5" s="5" t="s">
        <v>682</v>
      </c>
      <c r="E5" s="4"/>
      <c r="F5" t="s">
        <v>683</v>
      </c>
      <c r="G5" s="6" t="s">
        <v>684</v>
      </c>
      <c r="H5" s="6" t="s">
        <v>685</v>
      </c>
      <c r="I5" s="4"/>
      <c r="J5" s="6">
        <f>IF(I5&gt;0,PRODUCT(13300,I5),"")</f>
      </c>
    </row>
    <row r="6" spans="1:10" s="1" customFormat="1" customHeight="1">
      <c r="A6" s="3" t="s">
        <v>686</v>
      </c>
      <c r="B6" s="3"/>
      <c r="C6" s="3"/>
      <c r="D6" s="3"/>
      <c r="E6" s="3"/>
      <c r="F6" s="3"/>
      <c r="G6" s="3"/>
      <c r="H6" s="3"/>
      <c r="I6" s="3"/>
      <c r="J6" s="3"/>
    </row>
    <row r="7" spans="1:10" customHeight="1">
      <c r="A7" s="4" t="s">
        <v>687</v>
      </c>
      <c r="B7" s="4" t="s">
        <v>688</v>
      </c>
      <c r="C7" s="4"/>
      <c r="D7" s="5" t="s">
        <v>689</v>
      </c>
      <c r="E7" s="4" t="s">
        <v>690</v>
      </c>
      <c r="F7" t="s">
        <v>691</v>
      </c>
      <c r="G7" s="6" t="s">
        <v>692</v>
      </c>
      <c r="H7" s="6" t="s">
        <v>693</v>
      </c>
      <c r="I7" s="4"/>
      <c r="J7" s="6">
        <f>IF(I7&gt;0,PRODUCT(350,I7),"")</f>
      </c>
    </row>
    <row r="8" spans="1:10" customHeight="1">
      <c r="A8" s="4"/>
      <c r="B8" s="4"/>
      <c r="C8" s="4"/>
      <c r="D8" s="7"/>
      <c r="E8" s="4"/>
      <c r="F8"/>
      <c r="G8" s="6" t="s">
        <v>694</v>
      </c>
      <c r="H8" s="6" t="s">
        <v>695</v>
      </c>
      <c r="I8" s="4"/>
      <c r="J8" s="6">
        <f>IF(I8&gt;0,PRODUCT(450,I8),"")</f>
      </c>
    </row>
    <row r="9" spans="1:10" customHeight="1">
      <c r="A9" s="4"/>
      <c r="B9" s="4"/>
      <c r="C9" s="4"/>
      <c r="D9" s="7"/>
      <c r="E9" s="4"/>
      <c r="F9"/>
      <c r="G9" s="6" t="s">
        <v>696</v>
      </c>
      <c r="H9" s="6" t="s">
        <v>697</v>
      </c>
      <c r="I9" s="4"/>
      <c r="J9" s="6">
        <f>IF(I9&gt;0,PRODUCT(750,I9),"")</f>
      </c>
    </row>
    <row r="10" spans="1:10" customHeight="1">
      <c r="A10" s="4"/>
      <c r="B10" s="4"/>
      <c r="C10" s="4"/>
      <c r="D10" s="7"/>
      <c r="E10" s="4"/>
      <c r="F10"/>
      <c r="G10" s="6" t="s">
        <v>698</v>
      </c>
      <c r="H10" s="6" t="s">
        <v>699</v>
      </c>
      <c r="I10" s="4"/>
      <c r="J10" s="6">
        <f>IF(I10&gt;0,PRODUCT(3990,I10),"")</f>
      </c>
    </row>
    <row r="11" spans="1:10" customHeight="1">
      <c r="A11" s="4"/>
      <c r="B11" s="4"/>
      <c r="C11" s="4"/>
      <c r="D11" s="7"/>
      <c r="E11" s="4"/>
      <c r="F11"/>
      <c r="G11" s="6" t="s">
        <v>700</v>
      </c>
      <c r="H11" s="6" t="s">
        <v>701</v>
      </c>
      <c r="I11" s="4"/>
      <c r="J11" s="6">
        <f>IF(I11&gt;0,PRODUCT(7800,I11),"")</f>
      </c>
    </row>
    <row r="12" spans="1:10" customHeight="1">
      <c r="A12" s="4"/>
      <c r="B12" s="4"/>
      <c r="C12" s="4"/>
      <c r="D12" s="7"/>
      <c r="E12" s="4"/>
      <c r="F12"/>
      <c r="G12" s="6" t="s">
        <v>702</v>
      </c>
      <c r="H12" s="6" t="s">
        <v>703</v>
      </c>
      <c r="I12" s="4"/>
      <c r="J12" s="6">
        <f>IF(I12&gt;0,PRODUCT(2950,I12),"")</f>
      </c>
    </row>
    <row r="13" spans="1:10" s="1" customFormat="1" customHeight="1">
      <c r="A13" s="3" t="s">
        <v>704</v>
      </c>
      <c r="B13" s="3"/>
      <c r="C13" s="3"/>
      <c r="D13" s="3"/>
      <c r="E13" s="3"/>
      <c r="F13" s="3"/>
      <c r="G13" s="3"/>
      <c r="H13" s="3"/>
      <c r="I13" s="3"/>
      <c r="J13" s="3"/>
    </row>
    <row r="14" spans="1:10" ht="23" customHeight="1">
      <c r="A14" s="4" t="s">
        <v>705</v>
      </c>
      <c r="B14" s="4" t="s">
        <v>706</v>
      </c>
      <c r="C14" s="4"/>
      <c r="D14" s="5" t="s">
        <v>707</v>
      </c>
      <c r="E14" s="4" t="s">
        <v>708</v>
      </c>
      <c r="F14" t="s">
        <v>709</v>
      </c>
      <c r="G14" s="6" t="s">
        <v>710</v>
      </c>
      <c r="H14" s="6" t="s">
        <v>711</v>
      </c>
      <c r="I14" s="4"/>
      <c r="J14" s="6">
        <f>IF(I14&gt;0,PRODUCT(19300,I14),"")</f>
      </c>
    </row>
    <row r="15" spans="1:10" ht="23" customHeight="1">
      <c r="A15" s="4"/>
      <c r="B15" s="4"/>
      <c r="C15" s="4"/>
      <c r="D15" s="7"/>
      <c r="E15" s="4"/>
      <c r="F15"/>
      <c r="G15" s="6" t="s">
        <v>712</v>
      </c>
      <c r="H15" s="6" t="s">
        <v>713</v>
      </c>
      <c r="I15" s="4"/>
      <c r="J15" s="6">
        <f>IF(I15&gt;0,PRODUCT(1200,I15),"")</f>
      </c>
    </row>
    <row r="16" spans="1:10" ht="23" customHeight="1">
      <c r="A16" s="4"/>
      <c r="B16" s="4"/>
      <c r="C16" s="4"/>
      <c r="D16" s="7"/>
      <c r="E16" s="4"/>
      <c r="F16"/>
      <c r="G16" s="6" t="s">
        <v>714</v>
      </c>
      <c r="H16" s="6" t="s">
        <v>715</v>
      </c>
      <c r="I16" s="4"/>
      <c r="J16" s="6">
        <f>IF(I16&gt;0,PRODUCT(8800,I16),"")</f>
      </c>
    </row>
    <row r="17" spans="1:10" ht="23" customHeight="1">
      <c r="A17" s="4"/>
      <c r="B17" s="4"/>
      <c r="C17" s="4"/>
      <c r="D17" s="7"/>
      <c r="E17" s="4"/>
      <c r="F17"/>
      <c r="G17" s="6" t="s">
        <v>716</v>
      </c>
      <c r="H17" s="6" t="s">
        <v>717</v>
      </c>
      <c r="I17" s="4"/>
      <c r="J17" s="6">
        <f>IF(I17&gt;0,PRODUCT(4900,I17),"")</f>
      </c>
    </row>
    <row r="18" spans="1:10" ht="23" customHeight="1">
      <c r="A18" s="4" t="s">
        <v>718</v>
      </c>
      <c r="B18" s="4" t="s">
        <v>719</v>
      </c>
      <c r="C18" s="4"/>
      <c r="D18" s="5" t="s">
        <v>720</v>
      </c>
      <c r="E18" s="4" t="s">
        <v>721</v>
      </c>
      <c r="F18" t="s">
        <v>722</v>
      </c>
      <c r="G18" s="6" t="s">
        <v>723</v>
      </c>
      <c r="H18" s="6" t="s">
        <v>724</v>
      </c>
      <c r="I18" s="4"/>
      <c r="J18" s="6">
        <f>IF(I18&gt;0,PRODUCT(1300,I18),"")</f>
      </c>
    </row>
    <row r="19" spans="1:10" ht="23" customHeight="1">
      <c r="A19" s="4"/>
      <c r="B19" s="4"/>
      <c r="C19" s="4"/>
      <c r="D19" s="7"/>
      <c r="E19" s="4"/>
      <c r="F19"/>
      <c r="G19" s="6" t="s">
        <v>725</v>
      </c>
      <c r="H19" s="6" t="s">
        <v>726</v>
      </c>
      <c r="I19" s="4"/>
      <c r="J19" s="6">
        <f>IF(I19&gt;0,PRODUCT(10300,I19),"")</f>
      </c>
    </row>
    <row r="20" spans="1:10" ht="23" customHeight="1">
      <c r="A20" s="4"/>
      <c r="B20" s="4"/>
      <c r="C20" s="4"/>
      <c r="D20" s="7"/>
      <c r="E20" s="4"/>
      <c r="F20"/>
      <c r="G20" s="6" t="s">
        <v>727</v>
      </c>
      <c r="H20" s="6" t="s">
        <v>728</v>
      </c>
      <c r="I20" s="4"/>
      <c r="J20" s="6">
        <f>IF(I20&gt;0,PRODUCT(17600,I20),"")</f>
      </c>
    </row>
    <row r="21" spans="1:10" ht="23" customHeight="1">
      <c r="A21" s="4"/>
      <c r="B21" s="4"/>
      <c r="C21" s="4"/>
      <c r="D21" s="7"/>
      <c r="E21" s="4"/>
      <c r="F21"/>
      <c r="G21" s="6" t="s">
        <v>729</v>
      </c>
      <c r="H21" s="6" t="s">
        <v>730</v>
      </c>
      <c r="I21" s="4"/>
      <c r="J21" s="6">
        <f>IF(I21&gt;0,PRODUCT(5500,I21),"")</f>
      </c>
    </row>
    <row r="22" spans="1:10" ht="15.5" customHeight="1">
      <c r="A22" s="4" t="s">
        <v>731</v>
      </c>
      <c r="B22" s="4" t="s">
        <v>732</v>
      </c>
      <c r="C22" s="4"/>
      <c r="D22" s="5" t="s">
        <v>733</v>
      </c>
      <c r="E22" s="4" t="s">
        <v>734</v>
      </c>
      <c r="F22" t="s">
        <v>735</v>
      </c>
      <c r="G22" s="6" t="s">
        <v>736</v>
      </c>
      <c r="H22" s="6" t="s">
        <v>737</v>
      </c>
      <c r="I22" s="4"/>
      <c r="J22" s="6">
        <f>IF(I22&gt;0,PRODUCT(1200,I22),"")</f>
      </c>
    </row>
    <row r="23" spans="1:10" ht="15.5" customHeight="1">
      <c r="A23" s="4"/>
      <c r="B23" s="4"/>
      <c r="C23" s="4"/>
      <c r="D23" s="7"/>
      <c r="E23" s="4"/>
      <c r="F23"/>
      <c r="G23" s="6" t="s">
        <v>738</v>
      </c>
      <c r="H23" s="6" t="s">
        <v>739</v>
      </c>
      <c r="I23" s="4"/>
      <c r="J23" s="6">
        <f>IF(I23&gt;0,PRODUCT(21000,I23),"")</f>
      </c>
    </row>
    <row r="24" spans="1:10" ht="15.5" customHeight="1">
      <c r="A24" s="4"/>
      <c r="B24" s="4"/>
      <c r="C24" s="4"/>
      <c r="D24" s="7"/>
      <c r="E24" s="4"/>
      <c r="F24"/>
      <c r="G24" s="6" t="s">
        <v>740</v>
      </c>
      <c r="H24" s="6" t="s">
        <v>741</v>
      </c>
      <c r="I24" s="4"/>
      <c r="J24" s="6">
        <f>IF(I24&gt;0,PRODUCT(4900,I24),"")</f>
      </c>
    </row>
    <row r="25" spans="1:10" ht="15.5" customHeight="1">
      <c r="A25" s="4"/>
      <c r="B25" s="4"/>
      <c r="C25" s="4"/>
      <c r="D25" s="7"/>
      <c r="E25" s="4"/>
      <c r="F25"/>
      <c r="G25" s="6" t="s">
        <v>742</v>
      </c>
      <c r="H25" s="6" t="s">
        <v>743</v>
      </c>
      <c r="I25" s="4"/>
      <c r="J25" s="6">
        <f>IF(I25&gt;0,PRODUCT(780,I25),"")</f>
      </c>
    </row>
    <row r="26" spans="1:10" ht="61" customHeight="1">
      <c r="A26" s="4" t="s">
        <v>744</v>
      </c>
      <c r="B26" s="4"/>
      <c r="C26" s="4"/>
      <c r="D26" s="5" t="s">
        <v>745</v>
      </c>
      <c r="E26" s="4" t="s">
        <v>746</v>
      </c>
      <c r="F26" t="s">
        <v>747</v>
      </c>
      <c r="G26" s="6" t="s">
        <v>748</v>
      </c>
      <c r="H26" s="6"/>
      <c r="I26" s="4"/>
      <c r="J26" s="6"/>
    </row>
    <row r="27" spans="1:10" s="1" customFormat="1" customHeight="1">
      <c r="A27" s="3" t="s">
        <v>749</v>
      </c>
      <c r="B27" s="3"/>
      <c r="C27" s="3"/>
      <c r="D27" s="3"/>
      <c r="E27" s="3"/>
      <c r="F27" s="3"/>
      <c r="G27" s="3"/>
      <c r="H27" s="3"/>
      <c r="I27" s="3"/>
      <c r="J27" s="3"/>
    </row>
    <row r="28" spans="1:10" s="1" customFormat="1" customHeight="1">
      <c r="A28" s="3" t="s">
        <v>750</v>
      </c>
      <c r="B28" s="3"/>
      <c r="C28" s="3"/>
      <c r="D28" s="3"/>
      <c r="E28" s="3"/>
      <c r="F28" s="3"/>
      <c r="G28" s="3"/>
      <c r="H28" s="3"/>
      <c r="I28" s="3"/>
      <c r="J28" s="3"/>
    </row>
    <row r="29" spans="1:10" ht="91" customHeight="1">
      <c r="A29" s="4" t="s">
        <v>751</v>
      </c>
      <c r="B29" s="4" t="s">
        <v>752</v>
      </c>
      <c r="C29" s="4"/>
      <c r="D29" s="5" t="s">
        <v>753</v>
      </c>
      <c r="E29" s="4" t="s">
        <v>754</v>
      </c>
      <c r="F29"/>
      <c r="G29" s="6" t="s">
        <v>755</v>
      </c>
      <c r="H29" s="6" t="s">
        <v>756</v>
      </c>
      <c r="I29" s="4"/>
      <c r="J29" s="6">
        <f>IF(I29&gt;0,PRODUCT(155,I29),"")</f>
      </c>
    </row>
    <row r="30" spans="1:10" ht="91" customHeight="1">
      <c r="A30" s="4" t="s">
        <v>757</v>
      </c>
      <c r="B30" s="4" t="s">
        <v>758</v>
      </c>
      <c r="C30" s="4"/>
      <c r="D30" s="5" t="s">
        <v>759</v>
      </c>
      <c r="E30" s="4" t="s">
        <v>760</v>
      </c>
      <c r="F30"/>
      <c r="G30" s="6" t="s">
        <v>761</v>
      </c>
      <c r="H30" s="6" t="s">
        <v>762</v>
      </c>
      <c r="I30" s="4"/>
      <c r="J30" s="6">
        <f>IF(I30&gt;0,PRODUCT(205,I30),"")</f>
      </c>
    </row>
    <row r="31" spans="1:10" ht="91" customHeight="1">
      <c r="A31" s="4" t="s">
        <v>763</v>
      </c>
      <c r="B31" s="4" t="s">
        <v>764</v>
      </c>
      <c r="C31" s="4"/>
      <c r="D31" s="5" t="s">
        <v>765</v>
      </c>
      <c r="E31" s="4" t="s">
        <v>766</v>
      </c>
      <c r="F31"/>
      <c r="G31" s="6" t="s">
        <v>767</v>
      </c>
      <c r="H31" s="6" t="s">
        <v>768</v>
      </c>
      <c r="I31" s="4"/>
      <c r="J31" s="6">
        <f>IF(I31&gt;0,PRODUCT(180,I31),"")</f>
      </c>
    </row>
    <row r="32" spans="1:10" ht="91" customHeight="1">
      <c r="A32" s="4" t="s">
        <v>769</v>
      </c>
      <c r="B32" s="4" t="s">
        <v>770</v>
      </c>
      <c r="C32" s="4"/>
      <c r="D32" s="5" t="s">
        <v>771</v>
      </c>
      <c r="E32" s="4" t="s">
        <v>772</v>
      </c>
      <c r="F32"/>
      <c r="G32" s="6" t="s">
        <v>773</v>
      </c>
      <c r="H32" s="6" t="s">
        <v>774</v>
      </c>
      <c r="I32" s="4"/>
      <c r="J32" s="6">
        <f>IF(I32&gt;0,PRODUCT(185,I32),"")</f>
      </c>
    </row>
    <row r="33" spans="1:10" ht="91" customHeight="1">
      <c r="A33" s="4" t="s">
        <v>775</v>
      </c>
      <c r="B33" s="4" t="s">
        <v>776</v>
      </c>
      <c r="C33" s="4"/>
      <c r="D33" s="5" t="s">
        <v>777</v>
      </c>
      <c r="E33" s="4" t="s">
        <v>778</v>
      </c>
      <c r="F33"/>
      <c r="G33" s="6" t="s">
        <v>779</v>
      </c>
      <c r="H33" s="6" t="s">
        <v>780</v>
      </c>
      <c r="I33" s="4"/>
      <c r="J33" s="6">
        <f>IF(I33&gt;0,PRODUCT(195,I33),"")</f>
      </c>
    </row>
    <row r="34" spans="1:10" ht="91" customHeight="1">
      <c r="A34" s="4" t="s">
        <v>781</v>
      </c>
      <c r="B34" s="4" t="s">
        <v>782</v>
      </c>
      <c r="C34" s="4"/>
      <c r="D34" s="5" t="s">
        <v>783</v>
      </c>
      <c r="E34" s="4" t="s">
        <v>784</v>
      </c>
      <c r="F34"/>
      <c r="G34" s="6" t="s">
        <v>785</v>
      </c>
      <c r="H34" s="6" t="s">
        <v>786</v>
      </c>
      <c r="I34" s="4"/>
      <c r="J34" s="6">
        <f>IF(I34&gt;0,PRODUCT(180,I34),"")</f>
      </c>
    </row>
    <row r="35" spans="1:10" ht="91" customHeight="1">
      <c r="A35" s="4" t="s">
        <v>787</v>
      </c>
      <c r="B35" s="4" t="s">
        <v>788</v>
      </c>
      <c r="C35" s="4"/>
      <c r="D35" s="5" t="s">
        <v>789</v>
      </c>
      <c r="E35" s="4" t="s">
        <v>790</v>
      </c>
      <c r="F35"/>
      <c r="G35" s="6" t="s">
        <v>791</v>
      </c>
      <c r="H35" s="6" t="s">
        <v>792</v>
      </c>
      <c r="I35" s="4"/>
      <c r="J35" s="6">
        <f>IF(I35&gt;0,PRODUCT(165,I35),"")</f>
      </c>
    </row>
    <row r="36" spans="1:10" ht="91" customHeight="1">
      <c r="A36" s="4" t="s">
        <v>793</v>
      </c>
      <c r="B36" s="4" t="s">
        <v>794</v>
      </c>
      <c r="C36" s="4"/>
      <c r="D36" s="5" t="s">
        <v>795</v>
      </c>
      <c r="E36" s="4"/>
      <c r="F36"/>
      <c r="G36" s="6" t="s">
        <v>796</v>
      </c>
      <c r="H36" s="6" t="s">
        <v>797</v>
      </c>
      <c r="I36" s="4"/>
      <c r="J36" s="6">
        <f>IF(I36&gt;0,PRODUCT(180,I36),"")</f>
      </c>
    </row>
    <row r="37" spans="1:10" ht="91" customHeight="1">
      <c r="A37" s="4" t="s">
        <v>798</v>
      </c>
      <c r="B37" s="4" t="s">
        <v>799</v>
      </c>
      <c r="C37" s="4"/>
      <c r="D37" s="5" t="s">
        <v>800</v>
      </c>
      <c r="E37" s="4" t="s">
        <v>801</v>
      </c>
      <c r="F37" t="s">
        <v>802</v>
      </c>
      <c r="G37" s="6" t="s">
        <v>803</v>
      </c>
      <c r="H37" s="6" t="s">
        <v>804</v>
      </c>
      <c r="I37" s="4"/>
      <c r="J37" s="6">
        <f>IF(I37&gt;0,PRODUCT(140,I37),"")</f>
      </c>
    </row>
    <row r="38" spans="1:10" ht="91" customHeight="1">
      <c r="A38" s="4" t="s">
        <v>805</v>
      </c>
      <c r="B38" s="4" t="s">
        <v>806</v>
      </c>
      <c r="C38" s="4"/>
      <c r="D38" s="5" t="s">
        <v>807</v>
      </c>
      <c r="E38" s="4" t="s">
        <v>808</v>
      </c>
      <c r="F38"/>
      <c r="G38" s="6" t="s">
        <v>809</v>
      </c>
      <c r="H38" s="6" t="s">
        <v>810</v>
      </c>
      <c r="I38" s="4"/>
      <c r="J38" s="6">
        <f>IF(I38&gt;0,PRODUCT(495,I38),"")</f>
      </c>
    </row>
    <row r="39" spans="1:10" ht="91" customHeight="1">
      <c r="A39" s="4" t="s">
        <v>811</v>
      </c>
      <c r="B39" s="4" t="s">
        <v>812</v>
      </c>
      <c r="C39" s="4"/>
      <c r="D39" s="5" t="s">
        <v>813</v>
      </c>
      <c r="E39" s="4" t="s">
        <v>814</v>
      </c>
      <c r="F39"/>
      <c r="G39" s="6" t="s">
        <v>815</v>
      </c>
      <c r="H39" s="6" t="s">
        <v>816</v>
      </c>
      <c r="I39" s="4"/>
      <c r="J39" s="6">
        <f>IF(I39&gt;0,PRODUCT(495,I39),"")</f>
      </c>
    </row>
    <row r="40" spans="1:10" s="1" customFormat="1" customHeight="1">
      <c r="A40" s="3" t="s">
        <v>817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ht="30.5" customHeight="1">
      <c r="A41" s="4" t="s">
        <v>818</v>
      </c>
      <c r="B41" s="4" t="s">
        <v>819</v>
      </c>
      <c r="C41" s="4"/>
      <c r="D41" s="5" t="s">
        <v>820</v>
      </c>
      <c r="E41" s="4"/>
      <c r="F41"/>
      <c r="G41" s="6" t="s">
        <v>821</v>
      </c>
      <c r="H41" s="6" t="s">
        <v>822</v>
      </c>
      <c r="I41" s="4"/>
      <c r="J41" s="6">
        <f>IF(I41&gt;0,PRODUCT(1390,I41),"")</f>
      </c>
    </row>
    <row r="42" spans="1:10" ht="30.5" customHeight="1">
      <c r="A42" s="4"/>
      <c r="B42" s="4"/>
      <c r="C42" s="4"/>
      <c r="D42" s="7"/>
      <c r="E42" s="4"/>
      <c r="F42"/>
      <c r="G42" s="6" t="s">
        <v>823</v>
      </c>
      <c r="H42" s="6" t="s">
        <v>824</v>
      </c>
      <c r="I42" s="4"/>
      <c r="J42" s="6">
        <f>IF(I42&gt;0,PRODUCT(380,I42),"")</f>
      </c>
    </row>
    <row r="43" spans="1:10" ht="30.5" customHeight="1">
      <c r="A43" s="4"/>
      <c r="B43" s="4"/>
      <c r="C43" s="4"/>
      <c r="D43" s="7"/>
      <c r="E43" s="4"/>
      <c r="F43"/>
      <c r="G43" s="6" t="s">
        <v>825</v>
      </c>
      <c r="H43" s="6" t="s">
        <v>826</v>
      </c>
      <c r="I43" s="4"/>
      <c r="J43" s="6">
        <f>IF(I43&gt;0,PRODUCT(840,I43),"")</f>
      </c>
    </row>
    <row r="44" spans="1:10" s="1" customFormat="1" customHeight="1">
      <c r="A44" s="3" t="s">
        <v>827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ht="30.5" customHeight="1">
      <c r="A45" s="4" t="s">
        <v>828</v>
      </c>
      <c r="B45" s="4" t="s">
        <v>829</v>
      </c>
      <c r="C45" s="4"/>
      <c r="D45" s="5" t="s">
        <v>830</v>
      </c>
      <c r="E45" s="4"/>
      <c r="F45"/>
      <c r="G45" s="6" t="s">
        <v>831</v>
      </c>
      <c r="H45" s="6" t="s">
        <v>832</v>
      </c>
      <c r="I45" s="4"/>
      <c r="J45" s="6">
        <f>IF(I45&gt;0,PRODUCT(265,I45),"")</f>
      </c>
    </row>
    <row r="46" spans="1:10" ht="30.5" customHeight="1">
      <c r="A46" s="4"/>
      <c r="B46" s="4"/>
      <c r="C46" s="4"/>
      <c r="D46" s="7"/>
      <c r="E46" s="4"/>
      <c r="F46"/>
      <c r="G46" s="6" t="s">
        <v>833</v>
      </c>
      <c r="H46" s="6" t="s">
        <v>834</v>
      </c>
      <c r="I46" s="4"/>
      <c r="J46" s="6">
        <f>IF(I46&gt;0,PRODUCT(265,I46),"")</f>
      </c>
    </row>
    <row r="47" spans="1:10" ht="30.5" customHeight="1">
      <c r="A47" s="4"/>
      <c r="B47" s="4"/>
      <c r="C47" s="4"/>
      <c r="D47" s="7"/>
      <c r="E47" s="4"/>
      <c r="F47"/>
      <c r="G47" s="6" t="s">
        <v>835</v>
      </c>
      <c r="H47" s="6" t="s">
        <v>836</v>
      </c>
      <c r="I47" s="4"/>
      <c r="J47" s="6">
        <f>IF(I47&gt;0,PRODUCT(1600,I47),"")</f>
      </c>
    </row>
    <row r="48" spans="1:10" ht="30.5" customHeight="1">
      <c r="A48" s="4" t="s">
        <v>837</v>
      </c>
      <c r="B48" s="4" t="s">
        <v>838</v>
      </c>
      <c r="C48" s="4"/>
      <c r="D48" s="5" t="s">
        <v>839</v>
      </c>
      <c r="E48" s="4"/>
      <c r="F48"/>
      <c r="G48" s="6" t="s">
        <v>840</v>
      </c>
      <c r="H48" s="6" t="s">
        <v>841</v>
      </c>
      <c r="I48" s="4"/>
      <c r="J48" s="6">
        <f>IF(I48&gt;0,PRODUCT(1445,I48),"")</f>
      </c>
    </row>
    <row r="49" spans="1:10" ht="30.5" customHeight="1">
      <c r="A49" s="4"/>
      <c r="B49" s="4"/>
      <c r="C49" s="4"/>
      <c r="D49" s="7"/>
      <c r="E49" s="4"/>
      <c r="F49"/>
      <c r="G49" s="6" t="s">
        <v>842</v>
      </c>
      <c r="H49" s="6" t="s">
        <v>843</v>
      </c>
      <c r="I49" s="4"/>
      <c r="J49" s="6">
        <f>IF(I49&gt;0,PRODUCT(465,I49),"")</f>
      </c>
    </row>
    <row r="50" spans="1:10" ht="30.5" customHeight="1">
      <c r="A50" s="4"/>
      <c r="B50" s="4"/>
      <c r="C50" s="4"/>
      <c r="D50" s="7"/>
      <c r="E50" s="4"/>
      <c r="F50"/>
      <c r="G50" s="6" t="s">
        <v>844</v>
      </c>
      <c r="H50" s="6" t="s">
        <v>845</v>
      </c>
      <c r="I50" s="4"/>
      <c r="J50" s="6">
        <f>IF(I50&gt;0,PRODUCT(815,I50),"")</f>
      </c>
    </row>
    <row r="51" spans="1:10" s="1" customFormat="1" customHeight="1">
      <c r="A51" s="3" t="s">
        <v>846</v>
      </c>
      <c r="B51" s="3"/>
      <c r="C51" s="3"/>
      <c r="D51" s="3"/>
      <c r="E51" s="3"/>
      <c r="F51" s="3"/>
      <c r="G51" s="3"/>
      <c r="H51" s="3"/>
      <c r="I51" s="3"/>
      <c r="J51" s="3"/>
    </row>
    <row r="52" spans="1:10" ht="30.5" customHeight="1">
      <c r="A52" s="4" t="s">
        <v>847</v>
      </c>
      <c r="B52" s="4"/>
      <c r="C52" s="4"/>
      <c r="D52" s="5" t="s">
        <v>848</v>
      </c>
      <c r="E52" s="4"/>
      <c r="F52" t="s">
        <v>849</v>
      </c>
      <c r="G52" s="6" t="s">
        <v>850</v>
      </c>
      <c r="H52" s="6" t="s">
        <v>851</v>
      </c>
      <c r="I52" s="4"/>
      <c r="J52" s="6">
        <f>IF(I52&gt;0,PRODUCT(180,I52),"")</f>
      </c>
    </row>
    <row r="53" spans="1:10" ht="30.5" customHeight="1">
      <c r="A53" s="4"/>
      <c r="B53" s="4"/>
      <c r="C53" s="4"/>
      <c r="D53" s="7"/>
      <c r="E53" s="4"/>
      <c r="F53"/>
      <c r="G53" s="6" t="s">
        <v>852</v>
      </c>
      <c r="H53" s="6" t="s">
        <v>853</v>
      </c>
      <c r="I53" s="4"/>
      <c r="J53" s="6">
        <f>IF(I53&gt;0,PRODUCT(735,I53),"")</f>
      </c>
    </row>
    <row r="54" spans="1:10" s="1" customFormat="1" customHeight="1">
      <c r="A54" s="3" t="s">
        <v>854</v>
      </c>
      <c r="B54" s="3"/>
      <c r="C54" s="3"/>
      <c r="D54" s="3"/>
      <c r="E54" s="3"/>
      <c r="F54" s="3"/>
      <c r="G54" s="3"/>
      <c r="H54" s="3"/>
      <c r="I54" s="3"/>
      <c r="J54" s="3"/>
    </row>
    <row r="55" spans="1:10" ht="15" customHeight="1">
      <c r="A55" s="4" t="s">
        <v>855</v>
      </c>
      <c r="B55" s="4" t="s">
        <v>856</v>
      </c>
      <c r="C55" s="4"/>
      <c r="D55" s="5" t="s">
        <v>857</v>
      </c>
      <c r="E55" s="4"/>
      <c r="F55"/>
      <c r="G55" s="6" t="s">
        <v>858</v>
      </c>
      <c r="H55" s="6" t="s">
        <v>859</v>
      </c>
      <c r="I55" s="4"/>
      <c r="J55" s="6">
        <f>IF(I55&gt;0,PRODUCT(2000,I55),"")</f>
      </c>
    </row>
    <row r="56" spans="1:10" ht="15" customHeight="1">
      <c r="A56" s="4"/>
      <c r="B56" s="4"/>
      <c r="C56" s="4"/>
      <c r="D56" s="7"/>
      <c r="E56" s="4"/>
      <c r="F56"/>
      <c r="G56" s="6" t="s">
        <v>860</v>
      </c>
      <c r="H56" s="6" t="s">
        <v>861</v>
      </c>
      <c r="I56" s="4"/>
      <c r="J56" s="6">
        <f>IF(I56&gt;0,PRODUCT(380,I56),"")</f>
      </c>
    </row>
    <row r="57" spans="1:10" ht="15" customHeight="1">
      <c r="A57" s="4"/>
      <c r="B57" s="4"/>
      <c r="C57" s="4"/>
      <c r="D57" s="7"/>
      <c r="E57" s="4"/>
      <c r="F57"/>
      <c r="G57" s="6" t="s">
        <v>862</v>
      </c>
      <c r="H57" s="6" t="s">
        <v>863</v>
      </c>
      <c r="I57" s="4"/>
      <c r="J57" s="6">
        <f>IF(I57&gt;0,PRODUCT(380,I57),"")</f>
      </c>
    </row>
    <row r="58" spans="1:10" ht="15" customHeight="1">
      <c r="A58" s="4"/>
      <c r="B58" s="4"/>
      <c r="C58" s="4"/>
      <c r="D58" s="7"/>
      <c r="E58" s="4"/>
      <c r="F58"/>
      <c r="G58" s="6" t="s">
        <v>864</v>
      </c>
      <c r="H58" s="6" t="s">
        <v>865</v>
      </c>
      <c r="I58" s="4"/>
      <c r="J58" s="6">
        <f>IF(I58&gt;0,PRODUCT(380,I58),"")</f>
      </c>
    </row>
    <row r="59" spans="1:10" ht="15" customHeight="1">
      <c r="A59" s="4"/>
      <c r="B59" s="4"/>
      <c r="C59" s="4"/>
      <c r="D59" s="7"/>
      <c r="E59" s="4"/>
      <c r="F59"/>
      <c r="G59" s="6" t="s">
        <v>866</v>
      </c>
      <c r="H59" s="6" t="s">
        <v>867</v>
      </c>
      <c r="I59" s="4"/>
      <c r="J59" s="6">
        <f>IF(I59&gt;0,PRODUCT(5545,I59),"")</f>
      </c>
    </row>
    <row r="60" spans="1:10" ht="16" customHeight="1">
      <c r="A60" s="4"/>
      <c r="B60" s="4"/>
      <c r="C60" s="4"/>
      <c r="D60" s="7"/>
      <c r="E60" s="4"/>
      <c r="F60"/>
      <c r="G60" s="6" t="s">
        <v>868</v>
      </c>
      <c r="H60" s="6" t="s">
        <v>869</v>
      </c>
      <c r="I60" s="4"/>
      <c r="J60" s="6">
        <f>IF(I60&gt;0,PRODUCT(1090,I60),"")</f>
      </c>
    </row>
    <row r="61" spans="1:10" s="1" customFormat="1" customHeight="1">
      <c r="A61" s="3" t="s">
        <v>870</v>
      </c>
      <c r="B61" s="3"/>
      <c r="C61" s="3"/>
      <c r="D61" s="3"/>
      <c r="E61" s="3"/>
      <c r="F61" s="3"/>
      <c r="G61" s="3"/>
      <c r="H61" s="3"/>
      <c r="I61" s="3"/>
      <c r="J61" s="3"/>
    </row>
    <row r="62" spans="1:10" customHeight="1">
      <c r="A62" s="4" t="s">
        <v>871</v>
      </c>
      <c r="B62" s="4" t="s">
        <v>872</v>
      </c>
      <c r="C62" s="4"/>
      <c r="D62" s="5" t="s">
        <v>873</v>
      </c>
      <c r="E62" s="4" t="s">
        <v>874</v>
      </c>
      <c r="F62" t="s">
        <v>875</v>
      </c>
      <c r="G62" s="6" t="s">
        <v>876</v>
      </c>
      <c r="H62" s="6" t="s">
        <v>877</v>
      </c>
      <c r="I62" s="4"/>
      <c r="J62" s="6">
        <f>IF(I62&gt;0,PRODUCT(350,I62),"")</f>
      </c>
    </row>
    <row r="63" spans="1:10" customHeight="1">
      <c r="A63" s="4"/>
      <c r="B63" s="4"/>
      <c r="C63" s="4"/>
      <c r="D63" s="7"/>
      <c r="E63" s="4"/>
      <c r="F63"/>
      <c r="G63" s="6" t="s">
        <v>878</v>
      </c>
      <c r="H63" s="6" t="s">
        <v>879</v>
      </c>
      <c r="I63" s="4"/>
      <c r="J63" s="6">
        <f>IF(I63&gt;0,PRODUCT(450,I63),"")</f>
      </c>
    </row>
    <row r="64" spans="1:10" customHeight="1">
      <c r="A64" s="4"/>
      <c r="B64" s="4"/>
      <c r="C64" s="4"/>
      <c r="D64" s="7"/>
      <c r="E64" s="4"/>
      <c r="F64"/>
      <c r="G64" s="6" t="s">
        <v>880</v>
      </c>
      <c r="H64" s="6" t="s">
        <v>881</v>
      </c>
      <c r="I64" s="4"/>
      <c r="J64" s="6">
        <f>IF(I64&gt;0,PRODUCT(750,I64),"")</f>
      </c>
    </row>
    <row r="65" spans="1:10" customHeight="1">
      <c r="A65" s="4"/>
      <c r="B65" s="4"/>
      <c r="C65" s="4"/>
      <c r="D65" s="7"/>
      <c r="E65" s="4"/>
      <c r="F65"/>
      <c r="G65" s="6" t="s">
        <v>882</v>
      </c>
      <c r="H65" s="6" t="s">
        <v>883</v>
      </c>
      <c r="I65" s="4"/>
      <c r="J65" s="6">
        <f>IF(I65&gt;0,PRODUCT(3990,I65),"")</f>
      </c>
    </row>
    <row r="66" spans="1:10" customHeight="1">
      <c r="A66" s="4"/>
      <c r="B66" s="4"/>
      <c r="C66" s="4"/>
      <c r="D66" s="7"/>
      <c r="E66" s="4"/>
      <c r="F66"/>
      <c r="G66" s="6" t="s">
        <v>884</v>
      </c>
      <c r="H66" s="6" t="s">
        <v>885</v>
      </c>
      <c r="I66" s="4"/>
      <c r="J66" s="6">
        <f>IF(I66&gt;0,PRODUCT(7800,I66),"")</f>
      </c>
    </row>
    <row r="67" spans="1:10" customHeight="1">
      <c r="A67" s="4"/>
      <c r="B67" s="4"/>
      <c r="C67" s="4"/>
      <c r="D67" s="7"/>
      <c r="E67" s="4"/>
      <c r="F67"/>
      <c r="G67" s="6" t="s">
        <v>886</v>
      </c>
      <c r="H67" s="6" t="s">
        <v>887</v>
      </c>
      <c r="I67" s="4"/>
      <c r="J67" s="6">
        <f>IF(I67&gt;0,PRODUCT(2950,I67),"")</f>
      </c>
    </row>
    <row r="68" spans="1:10" s="1" customFormat="1" customHeight="1">
      <c r="A68" s="3" t="s">
        <v>888</v>
      </c>
      <c r="B68" s="3"/>
      <c r="C68" s="3"/>
      <c r="D68" s="3"/>
      <c r="E68" s="3"/>
      <c r="F68" s="3"/>
      <c r="G68" s="3"/>
      <c r="H68" s="3"/>
      <c r="I68" s="3"/>
      <c r="J68" s="3"/>
    </row>
    <row r="69" spans="1:10" ht="23" customHeight="1">
      <c r="A69" s="4" t="s">
        <v>889</v>
      </c>
      <c r="B69" s="4" t="s">
        <v>890</v>
      </c>
      <c r="C69" s="4"/>
      <c r="D69" s="5" t="s">
        <v>891</v>
      </c>
      <c r="E69" s="4"/>
      <c r="F69"/>
      <c r="G69" s="6" t="s">
        <v>892</v>
      </c>
      <c r="H69" s="6" t="s">
        <v>893</v>
      </c>
      <c r="I69" s="4"/>
      <c r="J69" s="6">
        <f>IF(I69&gt;0,PRODUCT(1580,I69),"")</f>
      </c>
    </row>
    <row r="70" spans="1:10" ht="23" customHeight="1">
      <c r="A70" s="4"/>
      <c r="B70" s="4"/>
      <c r="C70" s="4"/>
      <c r="D70" s="7"/>
      <c r="E70" s="4"/>
      <c r="F70"/>
      <c r="G70" s="6" t="s">
        <v>894</v>
      </c>
      <c r="H70" s="6" t="s">
        <v>895</v>
      </c>
      <c r="I70" s="4"/>
      <c r="J70" s="6">
        <f>IF(I70&gt;0,PRODUCT(3345,I70),"")</f>
      </c>
    </row>
    <row r="71" spans="1:10" ht="23" customHeight="1">
      <c r="A71" s="4"/>
      <c r="B71" s="4"/>
      <c r="C71" s="4"/>
      <c r="D71" s="7"/>
      <c r="E71" s="4"/>
      <c r="F71"/>
      <c r="G71" s="6" t="s">
        <v>896</v>
      </c>
      <c r="H71" s="6" t="s">
        <v>897</v>
      </c>
      <c r="I71" s="4"/>
      <c r="J71" s="6">
        <f>IF(I71&gt;0,PRODUCT(590,I71),"")</f>
      </c>
    </row>
    <row r="72" spans="1:10" ht="23" customHeight="1">
      <c r="A72" s="4"/>
      <c r="B72" s="4"/>
      <c r="C72" s="4"/>
      <c r="D72" s="7"/>
      <c r="E72" s="4"/>
      <c r="F72"/>
      <c r="G72" s="6" t="s">
        <v>898</v>
      </c>
      <c r="H72" s="6" t="s">
        <v>899</v>
      </c>
      <c r="I72" s="4"/>
      <c r="J72" s="6">
        <f>IF(I72&gt;0,PRODUCT(990,I72),"")</f>
      </c>
    </row>
    <row r="73" spans="1:10" s="1" customFormat="1" customHeight="1">
      <c r="A73" s="3" t="s">
        <v>900</v>
      </c>
      <c r="B73" s="3"/>
      <c r="C73" s="3"/>
      <c r="D73" s="3"/>
      <c r="E73" s="3"/>
      <c r="F73" s="3"/>
      <c r="G73" s="3"/>
      <c r="H73" s="3"/>
      <c r="I73" s="3"/>
      <c r="J73" s="3"/>
    </row>
    <row r="74" spans="1:10" customHeight="1">
      <c r="A74" s="4" t="s">
        <v>901</v>
      </c>
      <c r="B74" s="4" t="s">
        <v>902</v>
      </c>
      <c r="C74" s="4"/>
      <c r="D74" s="5" t="s">
        <v>903</v>
      </c>
      <c r="E74" s="4" t="s">
        <v>904</v>
      </c>
      <c r="F74"/>
      <c r="G74" s="6" t="s">
        <v>905</v>
      </c>
      <c r="H74" s="6" t="s">
        <v>906</v>
      </c>
      <c r="I74" s="4"/>
      <c r="J74" s="6">
        <f>IF(I74&gt;0,PRODUCT(660,I74),"")</f>
      </c>
    </row>
    <row r="75" spans="1:10" customHeight="1">
      <c r="A75" s="4"/>
      <c r="B75" s="4"/>
      <c r="C75" s="4"/>
      <c r="D75" s="7"/>
      <c r="E75" s="4"/>
      <c r="F75"/>
      <c r="G75" s="6" t="s">
        <v>907</v>
      </c>
      <c r="H75" s="6" t="s">
        <v>908</v>
      </c>
      <c r="I75" s="4"/>
      <c r="J75" s="6">
        <f>IF(I75&gt;0,PRODUCT(32820,I75),"")</f>
      </c>
    </row>
    <row r="76" spans="1:10" customHeight="1">
      <c r="A76" s="4"/>
      <c r="B76" s="4"/>
      <c r="C76" s="4"/>
      <c r="D76" s="7"/>
      <c r="E76" s="4"/>
      <c r="F76"/>
      <c r="G76" s="6" t="s">
        <v>909</v>
      </c>
      <c r="H76" s="6" t="s">
        <v>910</v>
      </c>
      <c r="I76" s="4"/>
      <c r="J76" s="6">
        <f>IF(I76&gt;0,PRODUCT(2570,I76),"")</f>
      </c>
    </row>
    <row r="77" spans="1:10" customHeight="1">
      <c r="A77" s="4"/>
      <c r="B77" s="4"/>
      <c r="C77" s="4"/>
      <c r="D77" s="7"/>
      <c r="E77" s="4"/>
      <c r="F77"/>
      <c r="G77" s="6" t="s">
        <v>911</v>
      </c>
      <c r="H77" s="6" t="s">
        <v>912</v>
      </c>
      <c r="I77" s="4"/>
      <c r="J77" s="6">
        <f>IF(I77&gt;0,PRODUCT(525,I77),"")</f>
      </c>
    </row>
    <row r="78" spans="1:10" customHeight="1">
      <c r="A78" s="4"/>
      <c r="B78" s="4"/>
      <c r="C78" s="4"/>
      <c r="D78" s="7"/>
      <c r="E78" s="4"/>
      <c r="F78"/>
      <c r="G78" s="6" t="s">
        <v>913</v>
      </c>
      <c r="H78" s="6" t="s">
        <v>914</v>
      </c>
      <c r="I78" s="4"/>
      <c r="J78" s="6">
        <f>IF(I78&gt;0,PRODUCT(1635,I78),"")</f>
      </c>
    </row>
    <row r="79" spans="1:10" customHeight="1">
      <c r="A79" s="4"/>
      <c r="B79" s="4"/>
      <c r="C79" s="4"/>
      <c r="D79" s="7"/>
      <c r="E79" s="4"/>
      <c r="F79"/>
      <c r="G79" s="6" t="s">
        <v>915</v>
      </c>
      <c r="H79" s="6" t="s">
        <v>916</v>
      </c>
      <c r="I79" s="4"/>
      <c r="J79" s="6">
        <f>IF(I79&gt;0,PRODUCT(17895,I79),"")</f>
      </c>
    </row>
    <row r="80" spans="1:10" customHeight="1">
      <c r="A80" s="4"/>
      <c r="B80" s="4"/>
      <c r="C80" s="4"/>
      <c r="D80" s="7"/>
      <c r="E80" s="4"/>
      <c r="F80"/>
      <c r="G80" s="6"/>
      <c r="H80" s="6" t="s">
        <v>917</v>
      </c>
      <c r="I80" s="4"/>
      <c r="J80" s="6">
        <f>IF(I80&gt;0,PRODUCT(660,I80),"")</f>
      </c>
    </row>
    <row r="81" spans="1:10" customHeight="1">
      <c r="A81" s="4" t="s">
        <v>918</v>
      </c>
      <c r="B81" s="4"/>
      <c r="C81" s="4"/>
      <c r="D81" s="5" t="s">
        <v>919</v>
      </c>
      <c r="E81" s="4" t="s">
        <v>920</v>
      </c>
      <c r="F81"/>
      <c r="G81" s="6" t="s">
        <v>921</v>
      </c>
      <c r="H81" s="6" t="s">
        <v>922</v>
      </c>
      <c r="I81" s="4"/>
      <c r="J81" s="6">
        <f>IF(I81&gt;0,PRODUCT(2690,I81),"")</f>
      </c>
    </row>
    <row r="82" spans="1:10" customHeight="1">
      <c r="A82" s="4"/>
      <c r="B82" s="4"/>
      <c r="C82" s="4"/>
      <c r="D82" s="7"/>
      <c r="E82" s="4"/>
      <c r="F82"/>
      <c r="G82" s="6" t="s">
        <v>923</v>
      </c>
      <c r="H82" s="6" t="s">
        <v>924</v>
      </c>
      <c r="I82" s="4"/>
      <c r="J82" s="6">
        <f>IF(I82&gt;0,PRODUCT(360,I82),"")</f>
      </c>
    </row>
    <row r="83" spans="1:10" customHeight="1">
      <c r="A83" s="4"/>
      <c r="B83" s="4"/>
      <c r="C83" s="4"/>
      <c r="D83" s="7"/>
      <c r="E83" s="4"/>
      <c r="F83"/>
      <c r="G83" s="6" t="s">
        <v>925</v>
      </c>
      <c r="H83" s="6" t="s">
        <v>926</v>
      </c>
      <c r="I83" s="4"/>
      <c r="J83" s="6">
        <f>IF(I83&gt;0,PRODUCT(32820,I83),"")</f>
      </c>
    </row>
    <row r="84" spans="1:10" customHeight="1">
      <c r="A84" s="4"/>
      <c r="B84" s="4"/>
      <c r="C84" s="4"/>
      <c r="D84" s="7"/>
      <c r="E84" s="4"/>
      <c r="F84"/>
      <c r="G84" s="6" t="s">
        <v>927</v>
      </c>
      <c r="H84" s="6" t="s">
        <v>928</v>
      </c>
      <c r="I84" s="4"/>
      <c r="J84" s="6">
        <f>IF(I84&gt;0,PRODUCT(2690,I84),"")</f>
      </c>
    </row>
    <row r="85" spans="1:10" customHeight="1">
      <c r="A85" s="4"/>
      <c r="B85" s="4"/>
      <c r="C85" s="4"/>
      <c r="D85" s="7"/>
      <c r="E85" s="4"/>
      <c r="F85"/>
      <c r="G85" s="6" t="s">
        <v>929</v>
      </c>
      <c r="H85" s="6" t="s">
        <v>930</v>
      </c>
      <c r="I85" s="4"/>
      <c r="J85" s="6">
        <f>IF(I85&gt;0,PRODUCT(1435,I85),"")</f>
      </c>
    </row>
    <row r="86" spans="1:10" customHeight="1">
      <c r="A86" s="4"/>
      <c r="B86" s="4"/>
      <c r="C86" s="4"/>
      <c r="D86" s="7"/>
      <c r="E86" s="4"/>
      <c r="F86"/>
      <c r="G86" s="6" t="s">
        <v>931</v>
      </c>
      <c r="H86" s="6" t="s">
        <v>932</v>
      </c>
      <c r="I86" s="4"/>
      <c r="J86" s="6">
        <f>IF(I86&gt;0,PRODUCT(17895,I86),"")</f>
      </c>
    </row>
    <row r="87" spans="1:10" customHeight="1">
      <c r="A87" s="4"/>
      <c r="B87" s="4"/>
      <c r="C87" s="4"/>
      <c r="D87" s="7"/>
      <c r="E87" s="4"/>
      <c r="F87"/>
      <c r="G87" s="6"/>
      <c r="H87" s="6" t="s">
        <v>933</v>
      </c>
      <c r="I87" s="4"/>
      <c r="J87" s="6">
        <f>IF(I87&gt;0,PRODUCT(2690,I87),"")</f>
      </c>
    </row>
    <row r="88" spans="1:10" s="1" customFormat="1" customHeight="1">
      <c r="A88" s="3" t="s">
        <v>934</v>
      </c>
      <c r="B88" s="3"/>
      <c r="C88" s="3"/>
      <c r="D88" s="3"/>
      <c r="E88" s="3"/>
      <c r="F88" s="3"/>
      <c r="G88" s="3"/>
      <c r="H88" s="3"/>
      <c r="I88" s="3"/>
      <c r="J88" s="3"/>
    </row>
    <row r="89" spans="1:10" s="1" customFormat="1" customHeight="1">
      <c r="A89" s="3" t="s">
        <v>935</v>
      </c>
      <c r="B89" s="3"/>
      <c r="C89" s="3"/>
      <c r="D89" s="3"/>
      <c r="E89" s="3"/>
      <c r="F89" s="3"/>
      <c r="G89" s="3"/>
      <c r="H89" s="3"/>
      <c r="I89" s="3"/>
      <c r="J89" s="3"/>
    </row>
    <row r="90" spans="1:10" ht="30.5" customHeight="1">
      <c r="A90" s="4" t="s">
        <v>936</v>
      </c>
      <c r="B90" s="4" t="s">
        <v>937</v>
      </c>
      <c r="C90" s="4"/>
      <c r="D90" s="5" t="s">
        <v>938</v>
      </c>
      <c r="E90" s="4"/>
      <c r="F90"/>
      <c r="G90" s="6" t="s">
        <v>939</v>
      </c>
      <c r="H90" s="6" t="s">
        <v>940</v>
      </c>
      <c r="I90" s="4"/>
      <c r="J90" s="6">
        <f>IF(I90&gt;0,PRODUCT(5750,I90),"")</f>
      </c>
    </row>
    <row r="91" spans="1:10" ht="30.5" customHeight="1">
      <c r="A91" s="4"/>
      <c r="B91" s="4"/>
      <c r="C91" s="4"/>
      <c r="D91" s="7"/>
      <c r="E91" s="4"/>
      <c r="F91"/>
      <c r="G91" s="6" t="s">
        <v>941</v>
      </c>
      <c r="H91" s="6" t="s">
        <v>942</v>
      </c>
      <c r="I91" s="4"/>
      <c r="J91" s="6">
        <f>IF(I91&gt;0,PRODUCT(850,I91),"")</f>
      </c>
    </row>
    <row r="92" spans="1:10" ht="30.5" customHeight="1">
      <c r="A92" s="4"/>
      <c r="B92" s="4"/>
      <c r="C92" s="4"/>
      <c r="D92" s="7"/>
      <c r="E92" s="4"/>
      <c r="F92"/>
      <c r="G92" s="6" t="s">
        <v>943</v>
      </c>
      <c r="H92" s="6" t="s">
        <v>944</v>
      </c>
      <c r="I92" s="4"/>
      <c r="J92" s="6">
        <f>IF(I92&gt;0,PRODUCT(1690,I92),"")</f>
      </c>
    </row>
    <row r="93" spans="1:10" ht="30.5" customHeight="1">
      <c r="A93" s="4" t="s">
        <v>945</v>
      </c>
      <c r="B93" s="4" t="s">
        <v>946</v>
      </c>
      <c r="C93" s="4"/>
      <c r="D93" s="5" t="s">
        <v>947</v>
      </c>
      <c r="E93" s="4" t="s">
        <v>948</v>
      </c>
      <c r="F93"/>
      <c r="G93" s="6" t="s">
        <v>949</v>
      </c>
      <c r="H93" s="6" t="s">
        <v>950</v>
      </c>
      <c r="I93" s="4"/>
      <c r="J93" s="6">
        <f>IF(I93&gt;0,PRODUCT(1495,I93),"")</f>
      </c>
    </row>
    <row r="94" spans="1:10" ht="30.5" customHeight="1">
      <c r="A94" s="4"/>
      <c r="B94" s="4"/>
      <c r="C94" s="4"/>
      <c r="D94" s="7"/>
      <c r="E94" s="4"/>
      <c r="F94"/>
      <c r="G94" s="6" t="s">
        <v>951</v>
      </c>
      <c r="H94" s="6" t="s">
        <v>952</v>
      </c>
      <c r="I94" s="4"/>
      <c r="J94" s="6">
        <f>IF(I94&gt;0,PRODUCT(360,I94),"")</f>
      </c>
    </row>
    <row r="95" spans="1:10" ht="30.5" customHeight="1">
      <c r="A95" s="4"/>
      <c r="B95" s="4"/>
      <c r="C95" s="4"/>
      <c r="D95" s="7"/>
      <c r="E95" s="4"/>
      <c r="F95"/>
      <c r="G95" s="6" t="s">
        <v>953</v>
      </c>
      <c r="H95" s="6" t="s">
        <v>954</v>
      </c>
      <c r="I95" s="4"/>
      <c r="J95" s="6">
        <f>IF(I95&gt;0,PRODUCT(750,I95),"")</f>
      </c>
    </row>
    <row r="96" spans="1:10" ht="30.5" customHeight="1">
      <c r="A96" s="4" t="s">
        <v>955</v>
      </c>
      <c r="B96" s="4" t="s">
        <v>956</v>
      </c>
      <c r="C96" s="4"/>
      <c r="D96" s="5" t="s">
        <v>957</v>
      </c>
      <c r="E96" s="4" t="s">
        <v>958</v>
      </c>
      <c r="F96" t="s">
        <v>959</v>
      </c>
      <c r="G96" s="6" t="s">
        <v>960</v>
      </c>
      <c r="H96" s="6" t="s">
        <v>961</v>
      </c>
      <c r="I96" s="4"/>
      <c r="J96" s="6">
        <f>IF(I96&gt;0,PRODUCT(1960,I96),"")</f>
      </c>
    </row>
    <row r="97" spans="1:10" ht="30.5" customHeight="1">
      <c r="A97" s="4"/>
      <c r="B97" s="4"/>
      <c r="C97" s="4"/>
      <c r="D97" s="7"/>
      <c r="E97" s="4"/>
      <c r="F97"/>
      <c r="G97" s="6" t="s">
        <v>962</v>
      </c>
      <c r="H97" s="6" t="s">
        <v>963</v>
      </c>
      <c r="I97" s="4"/>
      <c r="J97" s="6">
        <f>IF(I97&gt;0,PRODUCT(495,I97),"")</f>
      </c>
    </row>
    <row r="98" spans="1:10" ht="30.5" customHeight="1">
      <c r="A98" s="4"/>
      <c r="B98" s="4"/>
      <c r="C98" s="4"/>
      <c r="D98" s="7"/>
      <c r="E98" s="4"/>
      <c r="F98"/>
      <c r="G98" s="6" t="s">
        <v>964</v>
      </c>
      <c r="H98" s="6" t="s">
        <v>965</v>
      </c>
      <c r="I98" s="4"/>
      <c r="J98" s="6">
        <f>IF(I98&gt;0,PRODUCT(985,I98),"")</f>
      </c>
    </row>
    <row r="99" spans="1:10" s="1" customFormat="1" customHeight="1">
      <c r="A99" s="3" t="s">
        <v>966</v>
      </c>
      <c r="B99" s="3"/>
      <c r="C99" s="3"/>
      <c r="D99" s="3"/>
      <c r="E99" s="3"/>
      <c r="F99" s="3"/>
      <c r="G99" s="3"/>
      <c r="H99" s="3"/>
      <c r="I99" s="3"/>
      <c r="J99" s="3"/>
    </row>
    <row r="100" spans="1:10" ht="89.8" customHeight="1">
      <c r="A100" s="4" t="s">
        <v>967</v>
      </c>
      <c r="B100" s="4" t="s">
        <v>968</v>
      </c>
      <c r="C100" s="4"/>
      <c r="D100" s="5" t="s">
        <v>969</v>
      </c>
      <c r="E100" s="4"/>
      <c r="F100" t="s">
        <v>970</v>
      </c>
      <c r="G100" s="6" t="s">
        <v>971</v>
      </c>
      <c r="H100" s="6" t="s">
        <v>972</v>
      </c>
      <c r="I100" s="4"/>
      <c r="J100" s="6">
        <f>IF(I100&gt;0,PRODUCT(13300,I100),"")</f>
      </c>
    </row>
    <row r="101" spans="1:10" s="1" customFormat="1" customHeight="1">
      <c r="A101" s="3" t="s">
        <v>973</v>
      </c>
      <c r="B101" s="3"/>
      <c r="C101" s="3"/>
      <c r="D101" s="3"/>
      <c r="E101" s="3"/>
      <c r="F101" s="3"/>
      <c r="G101" s="3"/>
      <c r="H101" s="3"/>
      <c r="I101" s="3"/>
      <c r="J101" s="3"/>
    </row>
    <row r="102" spans="1:10" ht="30.5" customHeight="1">
      <c r="A102" s="4" t="s">
        <v>974</v>
      </c>
      <c r="B102" s="4" t="s">
        <v>975</v>
      </c>
      <c r="C102" s="4"/>
      <c r="D102" s="5" t="s">
        <v>976</v>
      </c>
      <c r="E102" s="4" t="s">
        <v>977</v>
      </c>
      <c r="F102" t="s">
        <v>978</v>
      </c>
      <c r="G102" s="6" t="s">
        <v>979</v>
      </c>
      <c r="H102" s="6" t="s">
        <v>980</v>
      </c>
      <c r="I102" s="4"/>
      <c r="J102" s="6">
        <f>IF(I102&gt;0,PRODUCT(2395,I102),"")</f>
      </c>
    </row>
    <row r="103" spans="1:10" ht="30.5" customHeight="1">
      <c r="A103" s="4"/>
      <c r="B103" s="4"/>
      <c r="C103" s="4"/>
      <c r="D103" s="7"/>
      <c r="E103" s="4"/>
      <c r="F103"/>
      <c r="G103" s="6" t="s">
        <v>981</v>
      </c>
      <c r="H103" s="6" t="s">
        <v>982</v>
      </c>
      <c r="I103" s="4"/>
      <c r="J103" s="6">
        <f>IF(I103&gt;0,PRODUCT(650,I103),"")</f>
      </c>
    </row>
    <row r="104" spans="1:10" ht="30.5" customHeight="1">
      <c r="A104" s="4"/>
      <c r="B104" s="4"/>
      <c r="C104" s="4"/>
      <c r="D104" s="7"/>
      <c r="E104" s="4"/>
      <c r="F104"/>
      <c r="G104" s="6" t="s">
        <v>983</v>
      </c>
      <c r="H104" s="6" t="s">
        <v>984</v>
      </c>
      <c r="I104" s="4"/>
      <c r="J104" s="6">
        <f>IF(I104&gt;0,PRODUCT(1305,I104),"")</f>
      </c>
    </row>
    <row r="105" spans="1:10" ht="30.5" customHeight="1">
      <c r="A105" s="4" t="s">
        <v>985</v>
      </c>
      <c r="B105" s="4" t="s">
        <v>986</v>
      </c>
      <c r="C105" s="4"/>
      <c r="D105" s="5" t="s">
        <v>987</v>
      </c>
      <c r="E105" s="4" t="s">
        <v>988</v>
      </c>
      <c r="F105" t="s">
        <v>989</v>
      </c>
      <c r="G105" s="6" t="s">
        <v>990</v>
      </c>
      <c r="H105" s="6" t="s">
        <v>991</v>
      </c>
      <c r="I105" s="4"/>
      <c r="J105" s="6">
        <f>IF(I105&gt;0,PRODUCT(1890,I105),"")</f>
      </c>
    </row>
    <row r="106" spans="1:10" ht="30.5" customHeight="1">
      <c r="A106" s="4"/>
      <c r="B106" s="4"/>
      <c r="C106" s="4"/>
      <c r="D106" s="7"/>
      <c r="E106" s="4"/>
      <c r="F106"/>
      <c r="G106" s="6" t="s">
        <v>992</v>
      </c>
      <c r="H106" s="6" t="s">
        <v>993</v>
      </c>
      <c r="I106" s="4"/>
      <c r="J106" s="6">
        <f>IF(I106&gt;0,PRODUCT(490,I106),"")</f>
      </c>
    </row>
    <row r="107" spans="1:10" ht="30.5" customHeight="1">
      <c r="A107" s="4"/>
      <c r="B107" s="4"/>
      <c r="C107" s="4"/>
      <c r="D107" s="7"/>
      <c r="E107" s="4"/>
      <c r="F107"/>
      <c r="G107" s="6" t="s">
        <v>994</v>
      </c>
      <c r="H107" s="6" t="s">
        <v>995</v>
      </c>
      <c r="I107" s="4"/>
      <c r="J107" s="6">
        <f>IF(I107&gt;0,PRODUCT(1030,I107),"")</f>
      </c>
    </row>
    <row r="108" spans="1:10" ht="30.5" customHeight="1">
      <c r="A108" s="4" t="s">
        <v>996</v>
      </c>
      <c r="B108" s="4" t="s">
        <v>997</v>
      </c>
      <c r="C108" s="4"/>
      <c r="D108" s="5" t="s">
        <v>998</v>
      </c>
      <c r="E108" s="4" t="s">
        <v>999</v>
      </c>
      <c r="F108"/>
      <c r="G108" s="6" t="s">
        <v>1000</v>
      </c>
      <c r="H108" s="6" t="s">
        <v>1001</v>
      </c>
      <c r="I108" s="4"/>
      <c r="J108" s="6">
        <f>IF(I108&gt;0,PRODUCT(1950,I108),"")</f>
      </c>
    </row>
    <row r="109" spans="1:10" ht="30.5" customHeight="1">
      <c r="A109" s="4"/>
      <c r="B109" s="4"/>
      <c r="C109" s="4"/>
      <c r="D109" s="7"/>
      <c r="E109" s="4"/>
      <c r="F109"/>
      <c r="G109" s="6" t="s">
        <v>1002</v>
      </c>
      <c r="H109" s="6" t="s">
        <v>1003</v>
      </c>
      <c r="I109" s="4"/>
      <c r="J109" s="6">
        <f>IF(I109&gt;0,PRODUCT(500,I109),"")</f>
      </c>
    </row>
    <row r="110" spans="1:10" ht="30.5" customHeight="1">
      <c r="A110" s="4"/>
      <c r="B110" s="4"/>
      <c r="C110" s="4"/>
      <c r="D110" s="7"/>
      <c r="E110" s="4"/>
      <c r="F110"/>
      <c r="G110" s="6" t="s">
        <v>1004</v>
      </c>
      <c r="H110" s="6" t="s">
        <v>1005</v>
      </c>
      <c r="I110" s="4"/>
      <c r="J110" s="6">
        <f>IF(I110&gt;0,PRODUCT(1026255,I110),"")</f>
      </c>
    </row>
    <row r="111" spans="1:10" s="1" customFormat="1" customHeight="1">
      <c r="A111" s="3" t="s">
        <v>1006</v>
      </c>
      <c r="B111" s="3"/>
      <c r="C111" s="3"/>
      <c r="D111" s="3"/>
      <c r="E111" s="3"/>
      <c r="F111" s="3"/>
      <c r="G111" s="3"/>
      <c r="H111" s="3"/>
      <c r="I111" s="3"/>
      <c r="J111" s="3"/>
    </row>
    <row r="112" spans="1:10" ht="34.5" customHeight="1">
      <c r="A112" s="4" t="s">
        <v>1007</v>
      </c>
      <c r="B112" s="4" t="s">
        <v>1008</v>
      </c>
      <c r="C112" s="4"/>
      <c r="D112" s="5" t="s">
        <v>1009</v>
      </c>
      <c r="E112" s="4" t="s">
        <v>1010</v>
      </c>
      <c r="F112"/>
      <c r="G112" s="6" t="s">
        <v>1011</v>
      </c>
      <c r="H112" s="6" t="s">
        <v>1012</v>
      </c>
      <c r="I112" s="4"/>
      <c r="J112" s="6">
        <f>IF(I112&gt;0,PRODUCT(735,I112),"")</f>
      </c>
    </row>
    <row r="113" spans="1:10" ht="34.5" customHeight="1">
      <c r="A113" s="4"/>
      <c r="B113" s="4"/>
      <c r="C113" s="4"/>
      <c r="D113" s="7"/>
      <c r="E113" s="4"/>
      <c r="F113"/>
      <c r="G113" s="6" t="s">
        <v>1013</v>
      </c>
      <c r="H113" s="6" t="s">
        <v>1014</v>
      </c>
      <c r="I113" s="4"/>
      <c r="J113" s="6">
        <f>IF(I113&gt;0,PRODUCT(425,I113),"")</f>
      </c>
    </row>
    <row r="114" spans="1:10" ht="33.5" customHeight="1">
      <c r="A114" s="4" t="s">
        <v>1015</v>
      </c>
      <c r="B114" s="4" t="s">
        <v>1016</v>
      </c>
      <c r="C114" s="4"/>
      <c r="D114" s="5" t="s">
        <v>1017</v>
      </c>
      <c r="E114" s="4" t="s">
        <v>1018</v>
      </c>
      <c r="F114"/>
      <c r="G114" s="6" t="s">
        <v>1019</v>
      </c>
      <c r="H114" s="6" t="s">
        <v>1020</v>
      </c>
      <c r="I114" s="4"/>
      <c r="J114" s="6">
        <f>IF(I114&gt;0,PRODUCT(695,I114),"")</f>
      </c>
    </row>
    <row r="115" spans="1:10" ht="33.5" customHeight="1">
      <c r="A115" s="4"/>
      <c r="B115" s="4"/>
      <c r="C115" s="4"/>
      <c r="D115" s="7"/>
      <c r="E115" s="4"/>
      <c r="F115"/>
      <c r="G115" s="6" t="s">
        <v>1021</v>
      </c>
      <c r="H115" s="6" t="s">
        <v>1022</v>
      </c>
      <c r="I115" s="4"/>
      <c r="J115" s="6">
        <f>IF(I115&gt;0,PRODUCT(405,I115),"")</f>
      </c>
    </row>
    <row r="116" spans="1:10" s="1" customFormat="1" customHeight="1">
      <c r="A116" s="3" t="s">
        <v>1023</v>
      </c>
      <c r="B116" s="3"/>
      <c r="C116" s="3"/>
      <c r="D116" s="3"/>
      <c r="E116" s="3"/>
      <c r="F116" s="3"/>
      <c r="G116" s="3"/>
      <c r="H116" s="3"/>
      <c r="I116" s="3"/>
      <c r="J116" s="3"/>
    </row>
    <row r="117" spans="1:10" ht="15" customHeight="1">
      <c r="A117" s="4" t="s">
        <v>1024</v>
      </c>
      <c r="B117" s="4" t="s">
        <v>1025</v>
      </c>
      <c r="C117" s="4"/>
      <c r="D117" s="5" t="s">
        <v>1026</v>
      </c>
      <c r="E117" s="4"/>
      <c r="F117" t="s">
        <v>1027</v>
      </c>
      <c r="G117" s="6" t="s">
        <v>1028</v>
      </c>
      <c r="H117" s="6" t="s">
        <v>1029</v>
      </c>
      <c r="I117" s="4"/>
      <c r="J117" s="6">
        <f>IF(I117&gt;0,PRODUCT(755,I117),"")</f>
      </c>
    </row>
    <row r="118" spans="1:10" ht="15" customHeight="1">
      <c r="A118" s="4"/>
      <c r="B118" s="4"/>
      <c r="C118" s="4"/>
      <c r="D118" s="7"/>
      <c r="E118" s="4"/>
      <c r="F118"/>
      <c r="G118" s="6" t="s">
        <v>1030</v>
      </c>
      <c r="H118" s="6" t="s">
        <v>1031</v>
      </c>
      <c r="I118" s="4"/>
      <c r="J118" s="6">
        <f>IF(I118&gt;0,PRODUCT(6130,I118),"")</f>
      </c>
    </row>
    <row r="119" spans="1:10" ht="15" customHeight="1">
      <c r="A119" s="4"/>
      <c r="B119" s="4"/>
      <c r="C119" s="4"/>
      <c r="D119" s="7"/>
      <c r="E119" s="4"/>
      <c r="F119"/>
      <c r="G119" s="6" t="s">
        <v>1032</v>
      </c>
      <c r="H119" s="6" t="s">
        <v>1033</v>
      </c>
      <c r="I119" s="4"/>
      <c r="J119" s="6">
        <f>IF(I119&gt;0,PRODUCT(2110,I119),"")</f>
      </c>
    </row>
    <row r="120" spans="1:10" ht="15.4" customHeight="1">
      <c r="A120" s="4"/>
      <c r="B120" s="4"/>
      <c r="C120" s="4"/>
      <c r="D120" s="7"/>
      <c r="E120" s="4"/>
      <c r="F120"/>
      <c r="G120" s="6" t="s">
        <v>1034</v>
      </c>
      <c r="H120" s="6" t="s">
        <v>1035</v>
      </c>
      <c r="I120" s="4"/>
      <c r="J120" s="6">
        <f>IF(I120&gt;0,PRODUCT(465,I120),"")</f>
      </c>
    </row>
    <row r="121" spans="1:10" s="1" customFormat="1" customHeight="1">
      <c r="A121" s="3" t="s">
        <v>1036</v>
      </c>
      <c r="B121" s="3"/>
      <c r="C121" s="3"/>
      <c r="D121" s="3"/>
      <c r="E121" s="3"/>
      <c r="F121" s="3"/>
      <c r="G121" s="3"/>
      <c r="H121" s="3"/>
      <c r="I121" s="3"/>
      <c r="J121" s="3"/>
    </row>
    <row r="122" spans="1:10" s="1" customFormat="1" customHeight="1">
      <c r="A122" s="3" t="s">
        <v>1037</v>
      </c>
      <c r="B122" s="3"/>
      <c r="C122" s="3"/>
      <c r="D122" s="3"/>
      <c r="E122" s="3"/>
      <c r="F122" s="3"/>
      <c r="G122" s="3"/>
      <c r="H122" s="3"/>
      <c r="I122" s="3"/>
      <c r="J122" s="3"/>
    </row>
    <row r="123" spans="1:10" ht="45.5" customHeight="1">
      <c r="A123" s="4" t="s">
        <v>1038</v>
      </c>
      <c r="B123" s="4"/>
      <c r="C123" s="4"/>
      <c r="D123" s="5" t="s">
        <v>1039</v>
      </c>
      <c r="E123" s="4"/>
      <c r="F123"/>
      <c r="G123" s="6" t="s">
        <v>1040</v>
      </c>
      <c r="H123" s="6" t="s">
        <v>1041</v>
      </c>
      <c r="I123" s="4"/>
      <c r="J123" s="6">
        <f>IF(I123&gt;0,PRODUCT(880,I123),"")</f>
      </c>
    </row>
    <row r="124" spans="1:10" ht="45.5" customHeight="1">
      <c r="A124" s="4"/>
      <c r="B124" s="4"/>
      <c r="C124" s="4"/>
      <c r="D124" s="7"/>
      <c r="E124" s="4"/>
      <c r="F124"/>
      <c r="G124" s="6" t="s">
        <v>1042</v>
      </c>
      <c r="H124" s="6" t="s">
        <v>1043</v>
      </c>
      <c r="I124" s="4"/>
      <c r="J124" s="6">
        <f>IF(I124&gt;0,PRODUCT(8190,I124),"")</f>
      </c>
    </row>
    <row r="125" spans="1:10" s="1" customFormat="1" customHeight="1">
      <c r="A125" s="3" t="s">
        <v>1044</v>
      </c>
      <c r="B125" s="3"/>
      <c r="C125" s="3"/>
      <c r="D125" s="3"/>
      <c r="E125" s="3"/>
      <c r="F125" s="3"/>
      <c r="G125" s="3"/>
      <c r="H125" s="3"/>
      <c r="I125" s="3"/>
      <c r="J125" s="3"/>
    </row>
    <row r="126" spans="1:10" ht="30.5" customHeight="1">
      <c r="A126" s="4" t="s">
        <v>1045</v>
      </c>
      <c r="B126" s="4"/>
      <c r="C126" s="4"/>
      <c r="D126" s="5" t="s">
        <v>1046</v>
      </c>
      <c r="E126" s="4" t="s">
        <v>1047</v>
      </c>
      <c r="F126"/>
      <c r="G126" s="6" t="s">
        <v>1048</v>
      </c>
      <c r="H126" s="6" t="s">
        <v>1049</v>
      </c>
      <c r="I126" s="4"/>
      <c r="J126" s="6">
        <f>IF(I126&gt;0,PRODUCT(835,I126),"")</f>
      </c>
    </row>
    <row r="127" spans="1:10" ht="30.5" customHeight="1">
      <c r="A127" s="4"/>
      <c r="B127" s="4"/>
      <c r="C127" s="4"/>
      <c r="D127" s="7"/>
      <c r="E127" s="4"/>
      <c r="F127"/>
      <c r="G127" s="6" t="s">
        <v>1050</v>
      </c>
      <c r="H127" s="6" t="s">
        <v>1051</v>
      </c>
      <c r="I127" s="4"/>
      <c r="J127" s="6">
        <f>IF(I127&gt;0,PRODUCT(8615,I127),"")</f>
      </c>
    </row>
    <row r="128" spans="1:10" ht="30.5" customHeight="1">
      <c r="A128" s="4"/>
      <c r="B128" s="4"/>
      <c r="C128" s="4"/>
      <c r="D128" s="7"/>
      <c r="E128" s="4"/>
      <c r="F128"/>
      <c r="G128" s="6" t="s">
        <v>1052</v>
      </c>
      <c r="H128" s="6" t="s">
        <v>1053</v>
      </c>
      <c r="I128" s="4"/>
      <c r="J128" s="6">
        <f>IF(I128&gt;0,PRODUCT(520,I128),"")</f>
      </c>
    </row>
    <row r="129" spans="1:10" s="1" customFormat="1" customHeight="1">
      <c r="A129" s="3" t="s">
        <v>1054</v>
      </c>
      <c r="B129" s="3"/>
      <c r="C129" s="3"/>
      <c r="D129" s="3"/>
      <c r="E129" s="3"/>
      <c r="F129" s="3"/>
      <c r="G129" s="3"/>
      <c r="H129" s="3"/>
      <c r="I129" s="3"/>
      <c r="J129" s="3"/>
    </row>
    <row r="130" spans="1:10" ht="91" customHeight="1">
      <c r="A130" s="4" t="s">
        <v>1055</v>
      </c>
      <c r="B130" s="4" t="s">
        <v>1056</v>
      </c>
      <c r="C130" s="4"/>
      <c r="D130" s="5" t="s">
        <v>1057</v>
      </c>
      <c r="E130" s="4"/>
      <c r="F130" t="s">
        <v>1058</v>
      </c>
      <c r="G130" s="6" t="s">
        <v>1059</v>
      </c>
      <c r="H130" s="6" t="s">
        <v>1060</v>
      </c>
      <c r="I130" s="4"/>
      <c r="J130" s="6">
        <f>IF(I130&gt;0,PRODUCT(250,I130),"")</f>
      </c>
    </row>
    <row r="131" spans="1:10" s="1" customFormat="1" customHeight="1">
      <c r="A131" s="3" t="s">
        <v>1061</v>
      </c>
      <c r="B131" s="3"/>
      <c r="C131" s="3"/>
      <c r="D131" s="3"/>
      <c r="E131" s="3"/>
      <c r="F131" s="3"/>
      <c r="G131" s="3"/>
      <c r="H131" s="3"/>
      <c r="I131" s="3"/>
      <c r="J131" s="3"/>
    </row>
    <row r="132" spans="1:10" s="1" customFormat="1" customHeight="1">
      <c r="A132" s="3" t="s">
        <v>1062</v>
      </c>
      <c r="B132" s="3"/>
      <c r="C132" s="3"/>
      <c r="D132" s="3"/>
      <c r="E132" s="3"/>
      <c r="F132" s="3"/>
      <c r="G132" s="3"/>
      <c r="H132" s="3"/>
      <c r="I132" s="3"/>
      <c r="J132" s="3"/>
    </row>
    <row r="133" spans="1:10" s="1" customFormat="1" customHeight="1">
      <c r="A133" s="3" t="s">
        <v>1063</v>
      </c>
      <c r="B133" s="3"/>
      <c r="C133" s="3"/>
      <c r="D133" s="3"/>
      <c r="E133" s="3"/>
      <c r="F133" s="3"/>
      <c r="G133" s="3"/>
      <c r="H133" s="3"/>
      <c r="I133" s="3"/>
      <c r="J133" s="3"/>
    </row>
    <row r="134" spans="1:10" customHeight="1">
      <c r="A134" t="s">
        <v>1064</v>
      </c>
      <c r="B134"/>
      <c r="C134"/>
      <c r="D134"/>
      <c r="E134"/>
      <c r="F134"/>
      <c r="G134"/>
      <c r="H134"/>
      <c r="I134"/>
      <c r="J134"/>
    </row>
    <row r="135" spans="1:10" ht="68.8" customHeight="1">
      <c r="A135" s="4" t="s">
        <v>1065</v>
      </c>
      <c r="B135" s="4" t="s">
        <v>1066</v>
      </c>
      <c r="C135" s="4"/>
      <c r="D135" s="5" t="s">
        <v>1067</v>
      </c>
      <c r="E135" s="4"/>
      <c r="F135" t="s">
        <v>1068</v>
      </c>
      <c r="G135" s="6" t="s">
        <v>1069</v>
      </c>
      <c r="H135" s="6" t="s">
        <v>1070</v>
      </c>
      <c r="I135" s="4"/>
      <c r="J135" s="6">
        <f>IF(I135&gt;0,PRODUCT(3350,I135),"")</f>
      </c>
    </row>
    <row r="136" spans="1:10" ht="61.6" customHeight="1">
      <c r="A136" s="4" t="s">
        <v>1071</v>
      </c>
      <c r="B136" s="4" t="s">
        <v>1072</v>
      </c>
      <c r="C136" s="4"/>
      <c r="D136" s="5" t="s">
        <v>1073</v>
      </c>
      <c r="E136" s="4"/>
      <c r="F136" t="s">
        <v>1074</v>
      </c>
      <c r="G136" s="6" t="s">
        <v>1075</v>
      </c>
      <c r="H136" s="6" t="s">
        <v>1076</v>
      </c>
      <c r="I136" s="4"/>
      <c r="J136" s="6">
        <f>IF(I136&gt;0,PRODUCT(3350,I136),"")</f>
      </c>
    </row>
    <row r="137" spans="1:10" ht="91" customHeight="1">
      <c r="A137" s="4" t="s">
        <v>1077</v>
      </c>
      <c r="B137" s="4" t="s">
        <v>1078</v>
      </c>
      <c r="C137" s="4"/>
      <c r="D137" s="5" t="s">
        <v>1079</v>
      </c>
      <c r="E137" s="4" t="s">
        <v>1080</v>
      </c>
      <c r="F137"/>
      <c r="G137" s="6" t="s">
        <v>1081</v>
      </c>
      <c r="H137" s="6" t="s">
        <v>1082</v>
      </c>
      <c r="I137" s="4"/>
      <c r="J137" s="6">
        <f>IF(I137&gt;0,PRODUCT(3470,I137),"")</f>
      </c>
    </row>
    <row r="138" spans="1:10" ht="30.5" customHeight="1">
      <c r="A138" s="4" t="s">
        <v>1083</v>
      </c>
      <c r="B138" s="4" t="s">
        <v>1084</v>
      </c>
      <c r="C138" s="4"/>
      <c r="D138" s="5" t="s">
        <v>1085</v>
      </c>
      <c r="E138" s="4"/>
      <c r="F138" t="s">
        <v>1086</v>
      </c>
      <c r="G138" s="6" t="s">
        <v>1087</v>
      </c>
      <c r="H138" s="6" t="s">
        <v>1088</v>
      </c>
      <c r="I138" s="4"/>
      <c r="J138" s="6">
        <f>IF(I138&gt;0,PRODUCT(2770,I138),"")</f>
      </c>
    </row>
    <row r="139" spans="1:10" ht="30.5" customHeight="1">
      <c r="A139" s="4"/>
      <c r="B139" s="4"/>
      <c r="C139" s="4"/>
      <c r="D139" s="7"/>
      <c r="E139" s="4"/>
      <c r="F139"/>
      <c r="G139" s="6" t="s">
        <v>1089</v>
      </c>
      <c r="H139" s="6" t="s">
        <v>1090</v>
      </c>
      <c r="I139" s="4"/>
      <c r="J139" s="6">
        <f>IF(I139&gt;0,PRODUCT(490,I139),"")</f>
      </c>
    </row>
    <row r="140" spans="1:10" ht="30.5" customHeight="1">
      <c r="A140" s="4"/>
      <c r="B140" s="4"/>
      <c r="C140" s="4"/>
      <c r="D140" s="7"/>
      <c r="E140" s="4"/>
      <c r="F140"/>
      <c r="G140" s="6" t="s">
        <v>1091</v>
      </c>
      <c r="H140" s="6" t="s">
        <v>1092</v>
      </c>
      <c r="I140" s="4"/>
      <c r="J140" s="6">
        <f>IF(I140&gt;0,PRODUCT(230,I140),"")</f>
      </c>
    </row>
    <row r="141" spans="1:10" s="1" customFormat="1" customHeight="1">
      <c r="A141" s="3" t="s">
        <v>1093</v>
      </c>
      <c r="B141" s="3"/>
      <c r="C141" s="3"/>
      <c r="D141" s="3"/>
      <c r="E141" s="3"/>
      <c r="F141" s="3"/>
      <c r="G141" s="3"/>
      <c r="H141" s="3"/>
      <c r="I141" s="3"/>
      <c r="J141" s="3"/>
    </row>
    <row r="142" spans="1:10" ht="91" customHeight="1">
      <c r="A142" s="4" t="s">
        <v>1094</v>
      </c>
      <c r="B142" s="4"/>
      <c r="C142" s="4"/>
      <c r="D142" s="5" t="s">
        <v>1095</v>
      </c>
      <c r="E142" s="4"/>
      <c r="F142"/>
      <c r="G142" s="6" t="s">
        <v>1096</v>
      </c>
      <c r="H142" s="6" t="s">
        <v>1097</v>
      </c>
      <c r="I142" s="4"/>
      <c r="J142" s="6">
        <f>IF(I142&gt;0,PRODUCT(76155,I142),"")</f>
      </c>
    </row>
    <row r="143" spans="1:10" customHeight="1">
      <c r="A143" t="s">
        <v>1098</v>
      </c>
      <c r="B143"/>
      <c r="C143"/>
      <c r="D143"/>
      <c r="E143"/>
      <c r="F143"/>
      <c r="G143"/>
      <c r="H143"/>
      <c r="I143"/>
      <c r="J143"/>
    </row>
    <row r="144" spans="1:10" ht="58" customHeight="1">
      <c r="A144" s="4" t="s">
        <v>1099</v>
      </c>
      <c r="B144" s="4" t="s">
        <v>1100</v>
      </c>
      <c r="C144" s="4"/>
      <c r="D144" s="5" t="s">
        <v>1101</v>
      </c>
      <c r="E144" s="4"/>
      <c r="F144" t="s">
        <v>1102</v>
      </c>
      <c r="G144" s="6" t="s">
        <v>1103</v>
      </c>
      <c r="H144" s="6" t="s">
        <v>1104</v>
      </c>
      <c r="I144" s="4"/>
      <c r="J144" s="6">
        <f>IF(I144&gt;0,PRODUCT(1620,I144),"")</f>
      </c>
    </row>
    <row r="145" spans="1:10" ht="64" customHeight="1">
      <c r="A145" s="4" t="s">
        <v>1105</v>
      </c>
      <c r="B145" s="4" t="s">
        <v>1106</v>
      </c>
      <c r="C145" s="4"/>
      <c r="D145" s="5" t="s">
        <v>1107</v>
      </c>
      <c r="E145" s="4"/>
      <c r="F145"/>
      <c r="G145" s="6" t="s">
        <v>1108</v>
      </c>
      <c r="H145" s="6" t="s">
        <v>1109</v>
      </c>
      <c r="I145" s="4"/>
      <c r="J145" s="6">
        <f>IF(I145&gt;0,PRODUCT(1620,I145),"")</f>
      </c>
    </row>
    <row r="146" spans="1:10" ht="58" customHeight="1">
      <c r="A146" s="4" t="s">
        <v>1110</v>
      </c>
      <c r="B146" s="4" t="s">
        <v>1111</v>
      </c>
      <c r="C146" s="4"/>
      <c r="D146" s="5" t="s">
        <v>1112</v>
      </c>
      <c r="E146" s="4"/>
      <c r="F146" t="s">
        <v>1113</v>
      </c>
      <c r="G146" s="6" t="s">
        <v>1114</v>
      </c>
      <c r="H146" s="6" t="s">
        <v>1115</v>
      </c>
      <c r="I146" s="4"/>
      <c r="J146" s="6">
        <f>IF(I146&gt;0,PRODUCT(1670,I146),"")</f>
      </c>
    </row>
    <row r="147" spans="1:10" ht="83.8" customHeight="1">
      <c r="A147" s="4" t="s">
        <v>1116</v>
      </c>
      <c r="B147" s="4" t="s">
        <v>1117</v>
      </c>
      <c r="C147" s="4"/>
      <c r="D147" s="5" t="s">
        <v>1118</v>
      </c>
      <c r="E147" s="4" t="s">
        <v>1119</v>
      </c>
      <c r="F147" t="s">
        <v>1120</v>
      </c>
      <c r="G147" s="6" t="s">
        <v>1121</v>
      </c>
      <c r="H147" s="6" t="s">
        <v>1122</v>
      </c>
      <c r="I147" s="4"/>
      <c r="J147" s="6">
        <f>IF(I147&gt;0,PRODUCT(1620,I147),"")</f>
      </c>
    </row>
    <row r="148" spans="1:10" ht="67" customHeight="1">
      <c r="A148" s="4" t="s">
        <v>1123</v>
      </c>
      <c r="B148" s="4" t="s">
        <v>1124</v>
      </c>
      <c r="C148" s="4"/>
      <c r="D148" s="5" t="s">
        <v>1125</v>
      </c>
      <c r="E148" s="4"/>
      <c r="F148" t="s">
        <v>1126</v>
      </c>
      <c r="G148" s="6" t="s">
        <v>1127</v>
      </c>
      <c r="H148" s="6" t="s">
        <v>1128</v>
      </c>
      <c r="I148" s="4"/>
      <c r="J148" s="6">
        <f>IF(I148&gt;0,PRODUCT(1670,I148),"")</f>
      </c>
    </row>
    <row r="149" spans="1:10" ht="68.8" customHeight="1">
      <c r="A149" s="4" t="s">
        <v>1129</v>
      </c>
      <c r="B149" s="4" t="s">
        <v>1130</v>
      </c>
      <c r="C149" s="4"/>
      <c r="D149" s="5" t="s">
        <v>1131</v>
      </c>
      <c r="E149" s="4"/>
      <c r="F149" t="s">
        <v>1132</v>
      </c>
      <c r="G149" s="6" t="s">
        <v>1133</v>
      </c>
      <c r="H149" s="6" t="s">
        <v>1134</v>
      </c>
      <c r="I149" s="4"/>
      <c r="J149" s="6">
        <f>IF(I149&gt;0,PRODUCT(1670,I149),"")</f>
      </c>
    </row>
    <row r="150" spans="1:10" ht="44.8" customHeight="1">
      <c r="A150" s="4" t="s">
        <v>1135</v>
      </c>
      <c r="B150" s="4" t="s">
        <v>1136</v>
      </c>
      <c r="C150" s="4"/>
      <c r="D150" s="5" t="s">
        <v>1137</v>
      </c>
      <c r="E150" s="4"/>
      <c r="F150" t="s">
        <v>1138</v>
      </c>
      <c r="G150" s="6" t="s">
        <v>1139</v>
      </c>
      <c r="H150" s="6" t="s">
        <v>1140</v>
      </c>
      <c r="I150" s="4"/>
      <c r="J150" s="6">
        <f>IF(I150&gt;0,PRODUCT(1670,I150),"")</f>
      </c>
    </row>
    <row r="151" spans="1:10" ht="83.8" customHeight="1">
      <c r="A151" s="4" t="s">
        <v>1141</v>
      </c>
      <c r="B151" s="4" t="s">
        <v>1142</v>
      </c>
      <c r="C151" s="4"/>
      <c r="D151" s="5" t="s">
        <v>1143</v>
      </c>
      <c r="E151" s="4"/>
      <c r="F151"/>
      <c r="G151" s="6" t="s">
        <v>1144</v>
      </c>
      <c r="H151" s="6" t="s">
        <v>1145</v>
      </c>
      <c r="I151" s="4"/>
      <c r="J151" s="6">
        <f>IF(I151&gt;0,PRODUCT(1740,I151),"")</f>
      </c>
    </row>
    <row r="152" spans="1:10" ht="61.6" customHeight="1">
      <c r="A152" s="4" t="s">
        <v>1146</v>
      </c>
      <c r="B152" s="4" t="s">
        <v>1147</v>
      </c>
      <c r="C152" s="4"/>
      <c r="D152" s="5" t="s">
        <v>1148</v>
      </c>
      <c r="E152" s="4"/>
      <c r="F152" t="s">
        <v>1149</v>
      </c>
      <c r="G152" s="6" t="s">
        <v>1150</v>
      </c>
      <c r="H152" s="6" t="s">
        <v>1151</v>
      </c>
      <c r="I152" s="4"/>
      <c r="J152" s="6">
        <f>IF(I152&gt;0,PRODUCT(1760,I152),"")</f>
      </c>
    </row>
    <row r="153" spans="1:10" ht="91" customHeight="1">
      <c r="A153" s="4" t="s">
        <v>1152</v>
      </c>
      <c r="B153" s="4" t="s">
        <v>1153</v>
      </c>
      <c r="C153" s="4"/>
      <c r="D153" s="5" t="s">
        <v>1154</v>
      </c>
      <c r="E153" s="4" t="s">
        <v>1155</v>
      </c>
      <c r="F153"/>
      <c r="G153" s="6" t="s">
        <v>1156</v>
      </c>
      <c r="H153" s="6" t="s">
        <v>1157</v>
      </c>
      <c r="I153" s="4"/>
      <c r="J153" s="6">
        <f>IF(I153&gt;0,PRODUCT(1760,I153),"")</f>
      </c>
    </row>
    <row r="154" spans="1:10" ht="91" customHeight="1">
      <c r="A154" s="4" t="s">
        <v>1158</v>
      </c>
      <c r="B154" s="4" t="s">
        <v>1159</v>
      </c>
      <c r="C154" s="4"/>
      <c r="D154" s="5" t="s">
        <v>1160</v>
      </c>
      <c r="E154" s="4" t="s">
        <v>1161</v>
      </c>
      <c r="F154" t="s">
        <v>1162</v>
      </c>
      <c r="G154" s="6" t="s">
        <v>1163</v>
      </c>
      <c r="H154" s="6" t="s">
        <v>1164</v>
      </c>
      <c r="I154" s="4"/>
      <c r="J154" s="6">
        <f>IF(I154&gt;0,PRODUCT(1870,I154),"")</f>
      </c>
    </row>
    <row r="155" spans="1:10" ht="60.4" customHeight="1">
      <c r="A155" s="4" t="s">
        <v>1165</v>
      </c>
      <c r="B155" s="4" t="s">
        <v>1166</v>
      </c>
      <c r="C155" s="4"/>
      <c r="D155" s="5" t="s">
        <v>1167</v>
      </c>
      <c r="E155" s="4"/>
      <c r="F155" t="s">
        <v>1168</v>
      </c>
      <c r="G155" s="6" t="s">
        <v>1169</v>
      </c>
      <c r="H155" s="6" t="s">
        <v>1170</v>
      </c>
      <c r="I155" s="4"/>
      <c r="J155" s="6">
        <f>IF(I155&gt;0,PRODUCT(1760,I155),"")</f>
      </c>
    </row>
    <row r="156" spans="1:10" ht="91" customHeight="1">
      <c r="A156" s="4" t="s">
        <v>1171</v>
      </c>
      <c r="B156" s="4" t="s">
        <v>1172</v>
      </c>
      <c r="C156" s="4"/>
      <c r="D156" s="5" t="s">
        <v>1173</v>
      </c>
      <c r="E156" s="4" t="s">
        <v>1174</v>
      </c>
      <c r="F156" t="s">
        <v>1175</v>
      </c>
      <c r="G156" s="6" t="s">
        <v>1176</v>
      </c>
      <c r="H156" s="6" t="s">
        <v>1177</v>
      </c>
      <c r="I156" s="4"/>
      <c r="J156" s="6">
        <f>IF(I156&gt;0,PRODUCT(1820,I156),"")</f>
      </c>
    </row>
    <row r="157" spans="1:10" ht="91" customHeight="1">
      <c r="A157" s="4" t="s">
        <v>1178</v>
      </c>
      <c r="B157" s="4" t="s">
        <v>1179</v>
      </c>
      <c r="C157" s="4"/>
      <c r="D157" s="5" t="s">
        <v>1180</v>
      </c>
      <c r="E157" s="4" t="s">
        <v>1181</v>
      </c>
      <c r="F157"/>
      <c r="G157" s="6" t="s">
        <v>1182</v>
      </c>
      <c r="H157" s="6" t="s">
        <v>1183</v>
      </c>
      <c r="I157" s="4"/>
      <c r="J157" s="6">
        <f>IF(I157&gt;0,PRODUCT(3430,I157),"")</f>
      </c>
    </row>
    <row r="158" spans="1:10" ht="91" customHeight="1">
      <c r="A158" s="4" t="s">
        <v>1184</v>
      </c>
      <c r="B158" s="4" t="s">
        <v>1185</v>
      </c>
      <c r="C158" s="4"/>
      <c r="D158" s="5" t="s">
        <v>1186</v>
      </c>
      <c r="E158" s="4" t="s">
        <v>1187</v>
      </c>
      <c r="F158" t="s">
        <v>1188</v>
      </c>
      <c r="G158" s="6" t="s">
        <v>1189</v>
      </c>
      <c r="H158" s="6" t="s">
        <v>1190</v>
      </c>
      <c r="I158" s="4"/>
      <c r="J158" s="6">
        <f>IF(I158&gt;0,PRODUCT(3170,I158),"")</f>
      </c>
    </row>
    <row r="159" spans="1:10" ht="61" customHeight="1">
      <c r="A159" s="4" t="s">
        <v>1191</v>
      </c>
      <c r="B159" s="4" t="s">
        <v>1192</v>
      </c>
      <c r="C159" s="4"/>
      <c r="D159" s="5" t="s">
        <v>1193</v>
      </c>
      <c r="E159" s="4"/>
      <c r="F159" t="s">
        <v>1194</v>
      </c>
      <c r="G159" s="6" t="s">
        <v>1195</v>
      </c>
      <c r="H159" s="6" t="s">
        <v>1196</v>
      </c>
      <c r="I159" s="4"/>
      <c r="J159" s="6">
        <f>IF(I159&gt;0,PRODUCT(2980,I159),"")</f>
      </c>
    </row>
    <row r="160" spans="1:10" s="1" customFormat="1" customHeight="1">
      <c r="A160" s="3" t="s">
        <v>1197</v>
      </c>
      <c r="B160" s="3"/>
      <c r="C160" s="3"/>
      <c r="D160" s="3"/>
      <c r="E160" s="3"/>
      <c r="F160" s="3"/>
      <c r="G160" s="3"/>
      <c r="H160" s="3"/>
      <c r="I160" s="3"/>
      <c r="J160" s="3"/>
    </row>
    <row r="161" spans="1:10" s="1" customFormat="1" customHeight="1">
      <c r="A161" s="3" t="s">
        <v>1198</v>
      </c>
      <c r="B161" s="3"/>
      <c r="C161" s="3"/>
      <c r="D161" s="3"/>
      <c r="E161" s="3"/>
      <c r="F161" s="3"/>
      <c r="G161" s="3"/>
      <c r="H161" s="3"/>
      <c r="I161" s="3"/>
      <c r="J161" s="3"/>
    </row>
    <row r="162" spans="1:10" ht="30.5" customHeight="1">
      <c r="A162" s="4" t="s">
        <v>1199</v>
      </c>
      <c r="B162" s="4" t="s">
        <v>1200</v>
      </c>
      <c r="C162" s="4"/>
      <c r="D162" s="5" t="s">
        <v>1201</v>
      </c>
      <c r="E162" s="4"/>
      <c r="F162"/>
      <c r="G162" s="6" t="s">
        <v>1202</v>
      </c>
      <c r="H162" s="6" t="s">
        <v>1203</v>
      </c>
      <c r="I162" s="4"/>
      <c r="J162" s="6">
        <f>IF(I162&gt;0,PRODUCT(340,I162),"")</f>
      </c>
    </row>
    <row r="163" spans="1:10" ht="30.5" customHeight="1">
      <c r="A163" s="4"/>
      <c r="B163" s="4"/>
      <c r="C163" s="4"/>
      <c r="D163" s="7"/>
      <c r="E163" s="4"/>
      <c r="F163"/>
      <c r="G163" s="6" t="s">
        <v>1204</v>
      </c>
      <c r="H163" s="6" t="s">
        <v>1205</v>
      </c>
      <c r="I163" s="4"/>
      <c r="J163" s="6">
        <f>IF(I163&gt;0,PRODUCT(545,I163),"")</f>
      </c>
    </row>
    <row r="164" spans="1:10" ht="30.5" customHeight="1">
      <c r="A164" s="4"/>
      <c r="B164" s="4"/>
      <c r="C164" s="4"/>
      <c r="D164" s="7"/>
      <c r="E164" s="4"/>
      <c r="F164"/>
      <c r="G164" s="6" t="s">
        <v>1206</v>
      </c>
      <c r="H164" s="6" t="s">
        <v>1207</v>
      </c>
      <c r="I164" s="4"/>
      <c r="J164" s="6">
        <f>IF(I164&gt;0,PRODUCT(2980,I164),"")</f>
      </c>
    </row>
    <row r="165" spans="1:10" s="1" customFormat="1" customHeight="1">
      <c r="A165" s="3" t="s">
        <v>1208</v>
      </c>
      <c r="B165" s="3"/>
      <c r="C165" s="3"/>
      <c r="D165" s="3"/>
      <c r="E165" s="3"/>
      <c r="F165" s="3"/>
      <c r="G165" s="3"/>
      <c r="H165" s="3"/>
      <c r="I165" s="3"/>
      <c r="J165" s="3"/>
    </row>
    <row r="166" spans="1:10" ht="68.8" customHeight="1">
      <c r="A166" s="4" t="s">
        <v>1209</v>
      </c>
      <c r="B166" s="4" t="s">
        <v>1210</v>
      </c>
      <c r="C166" s="4"/>
      <c r="D166" s="5" t="s">
        <v>1211</v>
      </c>
      <c r="E166" s="4" t="s">
        <v>1212</v>
      </c>
      <c r="F166"/>
      <c r="G166" s="6" t="s">
        <v>1213</v>
      </c>
      <c r="H166" s="6" t="s">
        <v>1214</v>
      </c>
      <c r="I166" s="4"/>
      <c r="J166" s="6">
        <f>IF(I166&gt;0,PRODUCT(4150,I166),"")</f>
      </c>
    </row>
    <row r="167" spans="1:10" ht="91" customHeight="1">
      <c r="A167" s="4" t="s">
        <v>1215</v>
      </c>
      <c r="B167" s="4" t="s">
        <v>1216</v>
      </c>
      <c r="C167" s="4"/>
      <c r="D167" s="5" t="s">
        <v>1217</v>
      </c>
      <c r="E167" s="4" t="s">
        <v>1218</v>
      </c>
      <c r="F167"/>
      <c r="G167" s="6" t="s">
        <v>1219</v>
      </c>
      <c r="H167" s="6" t="s">
        <v>1220</v>
      </c>
      <c r="I167" s="4"/>
      <c r="J167" s="6">
        <f>IF(I167&gt;0,PRODUCT(4400,I167),"")</f>
      </c>
    </row>
    <row r="168" spans="1:10" ht="68.8" customHeight="1">
      <c r="A168" s="4" t="s">
        <v>1221</v>
      </c>
      <c r="B168" s="4" t="s">
        <v>1222</v>
      </c>
      <c r="C168" s="4"/>
      <c r="D168" s="5" t="s">
        <v>1223</v>
      </c>
      <c r="E168" s="4"/>
      <c r="F168"/>
      <c r="G168" s="6" t="s">
        <v>1224</v>
      </c>
      <c r="H168" s="6" t="s">
        <v>1225</v>
      </c>
      <c r="I168" s="4"/>
      <c r="J168" s="6">
        <f>IF(I168&gt;0,PRODUCT(3640,I168),"")</f>
      </c>
    </row>
    <row r="169" spans="1:10" ht="85" customHeight="1">
      <c r="A169" s="4" t="s">
        <v>1226</v>
      </c>
      <c r="B169" s="4" t="s">
        <v>1227</v>
      </c>
      <c r="C169" s="4"/>
      <c r="D169" s="5" t="s">
        <v>1228</v>
      </c>
      <c r="E169" s="4"/>
      <c r="F169"/>
      <c r="G169" s="6" t="s">
        <v>1229</v>
      </c>
      <c r="H169" s="6" t="s">
        <v>1230</v>
      </c>
      <c r="I169" s="4"/>
      <c r="J169" s="6">
        <f>IF(I169&gt;0,PRODUCT(3895,I169),"")</f>
      </c>
    </row>
    <row r="170" spans="1:10" ht="20.5" customHeight="1">
      <c r="A170" s="4" t="s">
        <v>1231</v>
      </c>
      <c r="B170" s="4" t="s">
        <v>1232</v>
      </c>
      <c r="C170" s="4"/>
      <c r="D170" s="5" t="s">
        <v>1233</v>
      </c>
      <c r="E170" s="4" t="s">
        <v>1234</v>
      </c>
      <c r="F170" t="s">
        <v>1235</v>
      </c>
      <c r="G170" s="6" t="s">
        <v>1236</v>
      </c>
      <c r="H170" s="6" t="s">
        <v>1237</v>
      </c>
      <c r="I170" s="4"/>
      <c r="J170" s="6">
        <f>IF(I170&gt;0,PRODUCT(4350,I170),"")</f>
      </c>
    </row>
    <row r="171" spans="1:10" ht="20.5" customHeight="1">
      <c r="A171" s="4"/>
      <c r="B171" s="4"/>
      <c r="C171" s="4"/>
      <c r="D171" s="7"/>
      <c r="E171" s="4"/>
      <c r="F171"/>
      <c r="G171" s="6" t="s">
        <v>1238</v>
      </c>
      <c r="H171" s="6" t="s">
        <v>1239</v>
      </c>
      <c r="I171" s="4"/>
      <c r="J171" s="6">
        <f>IF(I171&gt;0,PRODUCT(435,I171),"")</f>
      </c>
    </row>
    <row r="172" spans="1:10" ht="20.6" customHeight="1">
      <c r="A172" s="4"/>
      <c r="B172" s="4"/>
      <c r="C172" s="4"/>
      <c r="D172" s="7"/>
      <c r="E172" s="4"/>
      <c r="F172"/>
      <c r="G172" s="6" t="s">
        <v>1240</v>
      </c>
      <c r="H172" s="6" t="s">
        <v>1241</v>
      </c>
      <c r="I172" s="4"/>
      <c r="J172" s="6">
        <f>IF(I172&gt;0,PRODUCT(265,I172),"")</f>
      </c>
    </row>
    <row r="173" spans="1:10" ht="75.4" customHeight="1">
      <c r="A173" s="4" t="s">
        <v>1242</v>
      </c>
      <c r="B173" s="4" t="s">
        <v>1243</v>
      </c>
      <c r="C173" s="4"/>
      <c r="D173" s="5" t="s">
        <v>1244</v>
      </c>
      <c r="E173" s="4" t="s">
        <v>1245</v>
      </c>
      <c r="F173"/>
      <c r="G173" s="6" t="s">
        <v>1246</v>
      </c>
      <c r="H173" s="6" t="s">
        <v>1247</v>
      </c>
      <c r="I173" s="4"/>
      <c r="J173" s="6">
        <f>IF(I173&gt;0,PRODUCT(4150,I173),"")</f>
      </c>
    </row>
    <row r="174" spans="1:10" ht="23" customHeight="1">
      <c r="A174" s="4" t="s">
        <v>1248</v>
      </c>
      <c r="B174" s="4" t="s">
        <v>1249</v>
      </c>
      <c r="C174" s="4"/>
      <c r="D174" s="5" t="s">
        <v>1250</v>
      </c>
      <c r="E174" s="4"/>
      <c r="F174"/>
      <c r="G174" s="6" t="s">
        <v>1251</v>
      </c>
      <c r="H174" s="6" t="s">
        <v>1252</v>
      </c>
      <c r="I174" s="4"/>
      <c r="J174" s="6">
        <f>IF(I174&gt;0,PRODUCT(540,I174),"")</f>
      </c>
    </row>
    <row r="175" spans="1:10" ht="23" customHeight="1">
      <c r="A175" s="4"/>
      <c r="B175" s="4"/>
      <c r="C175" s="4"/>
      <c r="D175" s="7"/>
      <c r="E175" s="4"/>
      <c r="F175"/>
      <c r="G175" s="6" t="s">
        <v>1253</v>
      </c>
      <c r="H175" s="6" t="s">
        <v>1254</v>
      </c>
      <c r="I175" s="4"/>
      <c r="J175" s="6">
        <f>IF(I175&gt;0,PRODUCT(10220,I175),"")</f>
      </c>
    </row>
    <row r="176" spans="1:10" ht="23" customHeight="1">
      <c r="A176" s="4"/>
      <c r="B176" s="4"/>
      <c r="C176" s="4"/>
      <c r="D176" s="7"/>
      <c r="E176" s="4"/>
      <c r="F176"/>
      <c r="G176" s="6" t="s">
        <v>1255</v>
      </c>
      <c r="H176" s="6" t="s">
        <v>1256</v>
      </c>
      <c r="I176" s="4"/>
      <c r="J176" s="6">
        <f>IF(I176&gt;0,PRODUCT(2220,I176),"")</f>
      </c>
    </row>
    <row r="177" spans="1:10" ht="23" customHeight="1">
      <c r="A177" s="4"/>
      <c r="B177" s="4"/>
      <c r="C177" s="4"/>
      <c r="D177" s="7"/>
      <c r="E177" s="4"/>
      <c r="F177"/>
      <c r="G177" s="6" t="s">
        <v>1257</v>
      </c>
      <c r="H177" s="6" t="s">
        <v>1258</v>
      </c>
      <c r="I177" s="4"/>
      <c r="J177" s="6">
        <f>IF(I177&gt;0,PRODUCT(370,I177),"")</f>
      </c>
    </row>
    <row r="178" spans="1:10" s="1" customFormat="1" customHeight="1">
      <c r="A178" s="3" t="s">
        <v>1259</v>
      </c>
      <c r="B178" s="3"/>
      <c r="C178" s="3"/>
      <c r="D178" s="3"/>
      <c r="E178" s="3"/>
      <c r="F178" s="3"/>
      <c r="G178" s="3"/>
      <c r="H178" s="3"/>
      <c r="I178" s="3"/>
      <c r="J178" s="3"/>
    </row>
    <row r="179" spans="1:10" s="1" customFormat="1" customHeight="1">
      <c r="A179" s="3" t="s">
        <v>1260</v>
      </c>
      <c r="B179" s="3"/>
      <c r="C179" s="3"/>
      <c r="D179" s="3"/>
      <c r="E179" s="3"/>
      <c r="F179" s="3"/>
      <c r="G179" s="3"/>
      <c r="H179" s="3"/>
      <c r="I179" s="3"/>
      <c r="J179" s="3"/>
    </row>
    <row r="180" spans="1:10" ht="51.4" customHeight="1">
      <c r="A180" s="4" t="s">
        <v>1261</v>
      </c>
      <c r="B180" s="4" t="s">
        <v>1262</v>
      </c>
      <c r="C180" s="4"/>
      <c r="D180" s="5" t="s">
        <v>1263</v>
      </c>
      <c r="E180" s="4"/>
      <c r="F180" t="s">
        <v>1264</v>
      </c>
      <c r="G180" s="6" t="s">
        <v>1265</v>
      </c>
      <c r="H180" s="6" t="s">
        <v>1266</v>
      </c>
      <c r="I180" s="4"/>
      <c r="J180" s="6">
        <f>IF(I180&gt;0,PRODUCT(5100,I180),"")</f>
      </c>
    </row>
    <row r="181" spans="1:10" ht="57.4" customHeight="1">
      <c r="A181" s="4" t="s">
        <v>1267</v>
      </c>
      <c r="B181" s="4" t="s">
        <v>1268</v>
      </c>
      <c r="C181" s="4"/>
      <c r="D181" s="5" t="s">
        <v>1269</v>
      </c>
      <c r="E181" s="4"/>
      <c r="F181"/>
      <c r="G181" s="6" t="s">
        <v>1270</v>
      </c>
      <c r="H181" s="6" t="s">
        <v>1271</v>
      </c>
      <c r="I181" s="4"/>
      <c r="J181" s="6">
        <f>IF(I181&gt;0,PRODUCT(4810,I181),"")</f>
      </c>
    </row>
    <row r="182" spans="1:10" ht="91" customHeight="1">
      <c r="A182" s="4" t="s">
        <v>1272</v>
      </c>
      <c r="B182" s="4" t="s">
        <v>1273</v>
      </c>
      <c r="C182" s="4"/>
      <c r="D182" s="5" t="s">
        <v>1274</v>
      </c>
      <c r="E182" s="4"/>
      <c r="F182" t="s">
        <v>1275</v>
      </c>
      <c r="G182" s="6" t="s">
        <v>1276</v>
      </c>
      <c r="H182" s="6" t="s">
        <v>1277</v>
      </c>
      <c r="I182" s="4"/>
      <c r="J182" s="6">
        <f>IF(I182&gt;0,PRODUCT(4700,I182),"")</f>
      </c>
    </row>
    <row r="183" spans="1:10" ht="57.4" customHeight="1">
      <c r="A183" s="4" t="s">
        <v>1278</v>
      </c>
      <c r="B183" s="4" t="s">
        <v>1279</v>
      </c>
      <c r="C183" s="4"/>
      <c r="D183" s="5" t="s">
        <v>1280</v>
      </c>
      <c r="E183" s="4"/>
      <c r="F183" t="s">
        <v>1281</v>
      </c>
      <c r="G183" s="6" t="s">
        <v>1282</v>
      </c>
      <c r="H183" s="6" t="s">
        <v>1283</v>
      </c>
      <c r="I183" s="4"/>
      <c r="J183" s="6">
        <f>IF(I183&gt;0,PRODUCT(4650,I183),"")</f>
      </c>
    </row>
    <row r="184" spans="1:10" s="1" customFormat="1" customHeight="1">
      <c r="A184" s="3" t="s">
        <v>1284</v>
      </c>
      <c r="B184" s="3"/>
      <c r="C184" s="3"/>
      <c r="D184" s="3"/>
      <c r="E184" s="3"/>
      <c r="F184" s="3"/>
      <c r="G184" s="3"/>
      <c r="H184" s="3"/>
      <c r="I184" s="3"/>
      <c r="J184" s="3"/>
    </row>
    <row r="185" spans="1:10" s="1" customFormat="1" customHeight="1">
      <c r="A185" s="3" t="s">
        <v>1285</v>
      </c>
      <c r="B185" s="3"/>
      <c r="C185" s="3"/>
      <c r="D185" s="3"/>
      <c r="E185" s="3"/>
      <c r="F185" s="3"/>
      <c r="G185" s="3"/>
      <c r="H185" s="3"/>
      <c r="I185" s="3"/>
      <c r="J185" s="3"/>
    </row>
    <row r="186" spans="1:10" s="1" customFormat="1" customHeight="1">
      <c r="A186" s="3" t="s">
        <v>1286</v>
      </c>
      <c r="B186" s="3"/>
      <c r="C186" s="3"/>
      <c r="D186" s="3"/>
      <c r="E186" s="3"/>
      <c r="F186" s="3"/>
      <c r="G186" s="3"/>
      <c r="H186" s="3"/>
      <c r="I186" s="3"/>
      <c r="J186" s="3"/>
    </row>
    <row r="187" spans="1:10" ht="68.8" customHeight="1">
      <c r="A187" s="4" t="s">
        <v>1287</v>
      </c>
      <c r="B187" s="4" t="s">
        <v>1288</v>
      </c>
      <c r="C187" s="4"/>
      <c r="D187" s="5" t="s">
        <v>1289</v>
      </c>
      <c r="E187" s="4"/>
      <c r="F187"/>
      <c r="G187" s="6" t="s">
        <v>1290</v>
      </c>
      <c r="H187" s="6" t="s">
        <v>1291</v>
      </c>
      <c r="I187" s="4"/>
      <c r="J187" s="6">
        <f>IF(I187&gt;0,PRODUCT(6500,I187),"")</f>
      </c>
    </row>
    <row r="188" spans="1:10" ht="91" customHeight="1">
      <c r="A188" s="4" t="s">
        <v>1292</v>
      </c>
      <c r="B188" s="4" t="s">
        <v>1293</v>
      </c>
      <c r="C188" s="4"/>
      <c r="D188" s="5" t="s">
        <v>1294</v>
      </c>
      <c r="E188" s="4"/>
      <c r="F188"/>
      <c r="G188" s="6" t="s">
        <v>1295</v>
      </c>
      <c r="H188" s="6" t="s">
        <v>1296</v>
      </c>
      <c r="I188" s="4"/>
      <c r="J188" s="6">
        <f>IF(I188&gt;0,PRODUCT(11190,I188),"")</f>
      </c>
    </row>
    <row r="189" spans="1:10" ht="68.8" customHeight="1">
      <c r="A189" s="4" t="s">
        <v>1297</v>
      </c>
      <c r="B189" s="4" t="s">
        <v>1298</v>
      </c>
      <c r="C189" s="4"/>
      <c r="D189" s="5" t="s">
        <v>1299</v>
      </c>
      <c r="E189" s="4"/>
      <c r="F189"/>
      <c r="G189" s="6" t="s">
        <v>1300</v>
      </c>
      <c r="H189" s="6" t="s">
        <v>1301</v>
      </c>
      <c r="I189" s="4"/>
      <c r="J189" s="6">
        <f>IF(I189&gt;0,PRODUCT(12700,I189),"")</f>
      </c>
    </row>
    <row r="190" spans="1:10" ht="91" customHeight="1">
      <c r="A190" s="4" t="s">
        <v>1302</v>
      </c>
      <c r="B190" s="4" t="s">
        <v>1303</v>
      </c>
      <c r="C190" s="4"/>
      <c r="D190" s="5" t="s">
        <v>1304</v>
      </c>
      <c r="E190" s="4"/>
      <c r="F190"/>
      <c r="G190" s="6" t="s">
        <v>1305</v>
      </c>
      <c r="H190" s="6" t="s">
        <v>1306</v>
      </c>
      <c r="I190" s="4"/>
      <c r="J190" s="6">
        <f>IF(I190&gt;0,PRODUCT(4430,I190),"")</f>
      </c>
    </row>
    <row r="191" spans="1:10" ht="61" customHeight="1">
      <c r="A191" s="4" t="s">
        <v>1307</v>
      </c>
      <c r="B191" s="4" t="s">
        <v>1308</v>
      </c>
      <c r="C191" s="4"/>
      <c r="D191" s="5" t="s">
        <v>1309</v>
      </c>
      <c r="E191" s="4"/>
      <c r="F191"/>
      <c r="G191" s="6" t="s">
        <v>1310</v>
      </c>
      <c r="H191" s="6" t="s">
        <v>1311</v>
      </c>
      <c r="I191" s="4"/>
      <c r="J191" s="6">
        <f>IF(I191&gt;0,PRODUCT(6480,I191),"")</f>
      </c>
    </row>
    <row r="192" spans="1:10" ht="65.8" customHeight="1">
      <c r="A192" s="4" t="s">
        <v>1312</v>
      </c>
      <c r="B192" s="4" t="s">
        <v>1313</v>
      </c>
      <c r="C192" s="4"/>
      <c r="D192" s="5" t="s">
        <v>1314</v>
      </c>
      <c r="E192" s="4"/>
      <c r="F192"/>
      <c r="G192" s="6" t="s">
        <v>1315</v>
      </c>
      <c r="H192" s="6" t="s">
        <v>1316</v>
      </c>
      <c r="I192" s="4"/>
      <c r="J192" s="6">
        <f>IF(I192&gt;0,PRODUCT(8160,I192),"")</f>
      </c>
    </row>
    <row r="193" spans="1:10" ht="91" customHeight="1">
      <c r="A193" s="4" t="s">
        <v>1317</v>
      </c>
      <c r="B193" s="4" t="s">
        <v>1318</v>
      </c>
      <c r="C193" s="4"/>
      <c r="D193" s="5" t="s">
        <v>1319</v>
      </c>
      <c r="E193" s="4"/>
      <c r="F193"/>
      <c r="G193" s="6" t="s">
        <v>1320</v>
      </c>
      <c r="H193" s="6" t="s">
        <v>1321</v>
      </c>
      <c r="I193" s="4"/>
      <c r="J193" s="6">
        <f>IF(I193&gt;0,PRODUCT(4400,I193),"")</f>
      </c>
    </row>
    <row r="194" spans="1:10" ht="91" customHeight="1">
      <c r="A194" s="4" t="s">
        <v>1322</v>
      </c>
      <c r="B194" s="4" t="s">
        <v>1323</v>
      </c>
      <c r="C194" s="4"/>
      <c r="D194" s="5" t="s">
        <v>1324</v>
      </c>
      <c r="E194" s="4"/>
      <c r="F194"/>
      <c r="G194" s="6" t="s">
        <v>1325</v>
      </c>
      <c r="H194" s="6" t="s">
        <v>1326</v>
      </c>
      <c r="I194" s="4"/>
      <c r="J194" s="6">
        <f>IF(I194&gt;0,PRODUCT(7760,I194),"")</f>
      </c>
    </row>
    <row r="195" spans="1:10" ht="91" customHeight="1">
      <c r="A195" s="4" t="s">
        <v>1327</v>
      </c>
      <c r="B195" s="4" t="s">
        <v>1328</v>
      </c>
      <c r="C195" s="4"/>
      <c r="D195" s="5" t="s">
        <v>1329</v>
      </c>
      <c r="E195" s="4"/>
      <c r="F195"/>
      <c r="G195" s="6" t="s">
        <v>1330</v>
      </c>
      <c r="H195" s="6" t="s">
        <v>1331</v>
      </c>
      <c r="I195" s="4"/>
      <c r="J195" s="6">
        <f>IF(I195&gt;0,PRODUCT(3920,I195),"")</f>
      </c>
    </row>
    <row r="196" spans="1:10" ht="68.8" customHeight="1">
      <c r="A196" s="4" t="s">
        <v>1332</v>
      </c>
      <c r="B196" s="4" t="s">
        <v>1333</v>
      </c>
      <c r="C196" s="4"/>
      <c r="D196" s="5" t="s">
        <v>1334</v>
      </c>
      <c r="E196" s="4"/>
      <c r="F196"/>
      <c r="G196" s="6" t="s">
        <v>1335</v>
      </c>
      <c r="H196" s="6" t="s">
        <v>1336</v>
      </c>
      <c r="I196" s="4"/>
      <c r="J196" s="6">
        <f>IF(I196&gt;0,PRODUCT(5150,I196),"")</f>
      </c>
    </row>
    <row r="197" spans="1:10" ht="91" customHeight="1">
      <c r="A197" s="4" t="s">
        <v>1337</v>
      </c>
      <c r="B197" s="4" t="s">
        <v>1338</v>
      </c>
      <c r="C197" s="4"/>
      <c r="D197" s="5" t="s">
        <v>1339</v>
      </c>
      <c r="E197" s="4"/>
      <c r="F197" t="s">
        <v>1340</v>
      </c>
      <c r="G197" s="6" t="s">
        <v>1341</v>
      </c>
      <c r="H197" s="6" t="s">
        <v>1342</v>
      </c>
      <c r="I197" s="4"/>
      <c r="J197" s="6">
        <f>IF(I197&gt;0,PRODUCT(5610,I197),"")</f>
      </c>
    </row>
    <row r="198" spans="1:10" ht="67" customHeight="1">
      <c r="A198" s="4" t="s">
        <v>1343</v>
      </c>
      <c r="B198" s="4" t="s">
        <v>1344</v>
      </c>
      <c r="C198" s="4"/>
      <c r="D198" s="5" t="s">
        <v>1345</v>
      </c>
      <c r="E198" s="4"/>
      <c r="F198"/>
      <c r="G198" s="6" t="s">
        <v>1346</v>
      </c>
      <c r="H198" s="6" t="s">
        <v>1347</v>
      </c>
      <c r="I198" s="4"/>
      <c r="J198" s="6">
        <f>IF(I198&gt;0,PRODUCT(7730,I198),"")</f>
      </c>
    </row>
    <row r="199" spans="1:10" ht="68.8" customHeight="1">
      <c r="A199" s="4" t="s">
        <v>1348</v>
      </c>
      <c r="B199" s="4" t="s">
        <v>1349</v>
      </c>
      <c r="C199" s="4"/>
      <c r="D199" s="5" t="s">
        <v>1350</v>
      </c>
      <c r="E199" s="4"/>
      <c r="F199"/>
      <c r="G199" s="6" t="s">
        <v>1351</v>
      </c>
      <c r="H199" s="6" t="s">
        <v>1352</v>
      </c>
      <c r="I199" s="4"/>
      <c r="J199" s="6">
        <f>IF(I199&gt;0,PRODUCT(8350,I199),"")</f>
      </c>
    </row>
    <row r="200" spans="1:10" ht="68.8" customHeight="1">
      <c r="A200" s="4" t="s">
        <v>1353</v>
      </c>
      <c r="B200" s="4" t="s">
        <v>1354</v>
      </c>
      <c r="C200" s="4"/>
      <c r="D200" s="5" t="s">
        <v>1355</v>
      </c>
      <c r="E200" s="4"/>
      <c r="F200"/>
      <c r="G200" s="6" t="s">
        <v>1356</v>
      </c>
      <c r="H200" s="6" t="s">
        <v>1357</v>
      </c>
      <c r="I200" s="4"/>
      <c r="J200" s="6">
        <f>IF(I200&gt;0,PRODUCT(6320,I200),"")</f>
      </c>
    </row>
    <row r="201" spans="1:10" ht="68.8" customHeight="1">
      <c r="A201" s="4" t="s">
        <v>1358</v>
      </c>
      <c r="B201" s="4" t="s">
        <v>1359</v>
      </c>
      <c r="C201" s="4"/>
      <c r="D201" s="5" t="s">
        <v>1360</v>
      </c>
      <c r="E201" s="4"/>
      <c r="F201"/>
      <c r="G201" s="6" t="s">
        <v>1361</v>
      </c>
      <c r="H201" s="6" t="s">
        <v>1362</v>
      </c>
      <c r="I201" s="4"/>
      <c r="J201" s="6">
        <f>IF(I201&gt;0,PRODUCT(7070,I201),"")</f>
      </c>
    </row>
    <row r="202" spans="1:10" ht="67" customHeight="1">
      <c r="A202" s="4" t="s">
        <v>1363</v>
      </c>
      <c r="B202" s="4" t="s">
        <v>1364</v>
      </c>
      <c r="C202" s="4"/>
      <c r="D202" s="5" t="s">
        <v>1365</v>
      </c>
      <c r="E202" s="4"/>
      <c r="F202"/>
      <c r="G202" s="6" t="s">
        <v>1366</v>
      </c>
      <c r="H202" s="6" t="s">
        <v>1367</v>
      </c>
      <c r="I202" s="4"/>
      <c r="J202" s="6">
        <f>IF(I202&gt;0,PRODUCT(2750,I202),"")</f>
      </c>
    </row>
    <row r="203" spans="1:10" ht="68.8" customHeight="1">
      <c r="A203" s="4" t="s">
        <v>1368</v>
      </c>
      <c r="B203" s="4" t="s">
        <v>1369</v>
      </c>
      <c r="C203" s="4"/>
      <c r="D203" s="5" t="s">
        <v>1370</v>
      </c>
      <c r="E203" s="4"/>
      <c r="F203"/>
      <c r="G203" s="6" t="s">
        <v>1371</v>
      </c>
      <c r="H203" s="6" t="s">
        <v>1372</v>
      </c>
      <c r="I203" s="4"/>
      <c r="J203" s="6">
        <f>IF(I203&gt;0,PRODUCT(4980,I203),"")</f>
      </c>
    </row>
    <row r="204" spans="1:10" ht="91" customHeight="1">
      <c r="A204" s="4" t="s">
        <v>1373</v>
      </c>
      <c r="B204" s="4" t="s">
        <v>1374</v>
      </c>
      <c r="C204" s="4"/>
      <c r="D204" s="5" t="s">
        <v>1375</v>
      </c>
      <c r="E204" s="4"/>
      <c r="F204"/>
      <c r="G204" s="6" t="s">
        <v>1376</v>
      </c>
      <c r="H204" s="6" t="s">
        <v>1377</v>
      </c>
      <c r="I204" s="4"/>
      <c r="J204" s="6">
        <f>IF(I204&gt;0,PRODUCT(3700,I204),"")</f>
      </c>
    </row>
    <row r="205" spans="1:10" ht="91" customHeight="1">
      <c r="A205" s="4" t="s">
        <v>1378</v>
      </c>
      <c r="B205" s="4" t="s">
        <v>1379</v>
      </c>
      <c r="C205" s="4"/>
      <c r="D205" s="5" t="s">
        <v>1380</v>
      </c>
      <c r="E205" s="4"/>
      <c r="F205"/>
      <c r="G205" s="6" t="s">
        <v>1381</v>
      </c>
      <c r="H205" s="6" t="s">
        <v>1382</v>
      </c>
      <c r="I205" s="4"/>
      <c r="J205" s="6">
        <f>IF(I205&gt;0,PRODUCT(4350,I205),"")</f>
      </c>
    </row>
    <row r="206" spans="1:10" ht="91" customHeight="1">
      <c r="A206" s="4" t="s">
        <v>1383</v>
      </c>
      <c r="B206" s="4" t="s">
        <v>1384</v>
      </c>
      <c r="C206" s="4"/>
      <c r="D206" s="5" t="s">
        <v>1385</v>
      </c>
      <c r="E206" s="4"/>
      <c r="F206"/>
      <c r="G206" s="6" t="s">
        <v>1386</v>
      </c>
      <c r="H206" s="6" t="s">
        <v>1387</v>
      </c>
      <c r="I206" s="4"/>
      <c r="J206" s="6">
        <f>IF(I206&gt;0,PRODUCT(5000,I206),"")</f>
      </c>
    </row>
    <row r="207" spans="1:10" ht="91" customHeight="1">
      <c r="A207" s="4" t="s">
        <v>1388</v>
      </c>
      <c r="B207" s="4" t="s">
        <v>1389</v>
      </c>
      <c r="C207" s="4"/>
      <c r="D207" s="5" t="s">
        <v>1390</v>
      </c>
      <c r="E207" s="4"/>
      <c r="F207"/>
      <c r="G207" s="6" t="s">
        <v>1391</v>
      </c>
      <c r="H207" s="6" t="s">
        <v>1392</v>
      </c>
      <c r="I207" s="4"/>
      <c r="J207" s="6">
        <f>IF(I207&gt;0,PRODUCT(3800,I207),"")</f>
      </c>
    </row>
    <row r="208" spans="1:10" ht="68.8" customHeight="1">
      <c r="A208" s="4" t="s">
        <v>1393</v>
      </c>
      <c r="B208" s="4" t="s">
        <v>1394</v>
      </c>
      <c r="C208" s="4"/>
      <c r="D208" s="5" t="s">
        <v>1395</v>
      </c>
      <c r="E208" s="4"/>
      <c r="F208"/>
      <c r="G208" s="6" t="s">
        <v>1396</v>
      </c>
      <c r="H208" s="6" t="s">
        <v>1397</v>
      </c>
      <c r="I208" s="4"/>
      <c r="J208" s="6">
        <f>IF(I208&gt;0,PRODUCT(3400,I208),"")</f>
      </c>
    </row>
    <row r="209" spans="1:10" s="1" customFormat="1" customHeight="1">
      <c r="A209" s="3" t="s">
        <v>1398</v>
      </c>
      <c r="B209" s="3"/>
      <c r="C209" s="3"/>
      <c r="D209" s="3"/>
      <c r="E209" s="3"/>
      <c r="F209" s="3"/>
      <c r="G209" s="3"/>
      <c r="H209" s="3"/>
      <c r="I209" s="3"/>
      <c r="J209" s="3"/>
    </row>
    <row r="210" spans="1:10" s="1" customFormat="1" customHeight="1">
      <c r="A210" s="3" t="s">
        <v>1399</v>
      </c>
      <c r="B210" s="3"/>
      <c r="C210" s="3"/>
      <c r="D210" s="3"/>
      <c r="E210" s="3"/>
      <c r="F210" s="3"/>
      <c r="G210" s="3"/>
      <c r="H210" s="3"/>
      <c r="I210" s="3"/>
      <c r="J210" s="3"/>
    </row>
    <row r="211" spans="1:10" ht="91" customHeight="1">
      <c r="A211" s="4" t="s">
        <v>1400</v>
      </c>
      <c r="B211" s="4" t="s">
        <v>1401</v>
      </c>
      <c r="C211" s="4"/>
      <c r="D211" s="5" t="s">
        <v>1402</v>
      </c>
      <c r="E211" s="4"/>
      <c r="F211"/>
      <c r="G211" s="6" t="s">
        <v>1403</v>
      </c>
      <c r="H211" s="6" t="s">
        <v>1404</v>
      </c>
      <c r="I211" s="4"/>
      <c r="J211" s="6">
        <f>IF(I211&gt;0,PRODUCT(5690,I211),"")</f>
      </c>
    </row>
    <row r="212" spans="1:10" ht="52" customHeight="1">
      <c r="A212" s="4" t="s">
        <v>1405</v>
      </c>
      <c r="B212" s="4" t="s">
        <v>1406</v>
      </c>
      <c r="C212" s="4"/>
      <c r="D212" s="5" t="s">
        <v>1407</v>
      </c>
      <c r="E212" s="4" t="s">
        <v>1408</v>
      </c>
      <c r="F212"/>
      <c r="G212" s="6" t="s">
        <v>1409</v>
      </c>
      <c r="H212" s="6" t="s">
        <v>1410</v>
      </c>
      <c r="I212" s="4"/>
      <c r="J212" s="6">
        <f>IF(I212&gt;0,PRODUCT(4870,I212),"")</f>
      </c>
    </row>
    <row r="213" spans="1:10" ht="91" customHeight="1">
      <c r="A213" s="4" t="s">
        <v>1411</v>
      </c>
      <c r="B213" s="4" t="s">
        <v>1412</v>
      </c>
      <c r="C213" s="4"/>
      <c r="D213" s="5" t="s">
        <v>1413</v>
      </c>
      <c r="E213" s="4"/>
      <c r="F213" t="s">
        <v>1414</v>
      </c>
      <c r="G213" s="6" t="s">
        <v>1415</v>
      </c>
      <c r="H213" s="6" t="s">
        <v>1416</v>
      </c>
      <c r="I213" s="4"/>
      <c r="J213" s="6">
        <f>IF(I213&gt;0,PRODUCT(5410,I213),"")</f>
      </c>
    </row>
    <row r="214" spans="1:10" ht="91" customHeight="1">
      <c r="A214" s="4" t="s">
        <v>1417</v>
      </c>
      <c r="B214" s="4" t="s">
        <v>1418</v>
      </c>
      <c r="C214" s="4"/>
      <c r="D214" s="5" t="s">
        <v>1419</v>
      </c>
      <c r="E214" s="4" t="s">
        <v>1420</v>
      </c>
      <c r="F214"/>
      <c r="G214" s="6" t="s">
        <v>1421</v>
      </c>
      <c r="H214" s="6" t="s">
        <v>1422</v>
      </c>
      <c r="I214" s="4"/>
      <c r="J214" s="6">
        <f>IF(I214&gt;0,PRODUCT(7250,I214),"")</f>
      </c>
    </row>
    <row r="215" spans="1:10" ht="61" customHeight="1">
      <c r="A215" s="4" t="s">
        <v>1423</v>
      </c>
      <c r="B215" s="4" t="s">
        <v>1424</v>
      </c>
      <c r="C215" s="4"/>
      <c r="D215" s="5" t="s">
        <v>1425</v>
      </c>
      <c r="E215" s="4"/>
      <c r="F215" t="s">
        <v>1426</v>
      </c>
      <c r="G215" s="6" t="s">
        <v>1427</v>
      </c>
      <c r="H215" s="6" t="s">
        <v>1428</v>
      </c>
      <c r="I215" s="4"/>
      <c r="J215" s="6">
        <f>IF(I215&gt;0,PRODUCT(5930,I215),"")</f>
      </c>
    </row>
    <row r="216" spans="1:10" ht="68.8" customHeight="1">
      <c r="A216" s="4" t="s">
        <v>1429</v>
      </c>
      <c r="B216" s="4" t="s">
        <v>1430</v>
      </c>
      <c r="C216" s="4"/>
      <c r="D216" s="5" t="s">
        <v>1431</v>
      </c>
      <c r="E216" s="4"/>
      <c r="F216" t="s">
        <v>1432</v>
      </c>
      <c r="G216" s="6" t="s">
        <v>1433</v>
      </c>
      <c r="H216" s="6" t="s">
        <v>1434</v>
      </c>
      <c r="I216" s="4"/>
      <c r="J216" s="6">
        <f>IF(I216&gt;0,PRODUCT(6160,I216),"")</f>
      </c>
    </row>
    <row r="217" spans="1:10" ht="62.8" customHeight="1">
      <c r="A217" s="4" t="s">
        <v>1435</v>
      </c>
      <c r="B217" s="4" t="s">
        <v>1436</v>
      </c>
      <c r="C217" s="4"/>
      <c r="D217" s="5" t="s">
        <v>1437</v>
      </c>
      <c r="E217" s="4"/>
      <c r="F217"/>
      <c r="G217" s="6" t="s">
        <v>1438</v>
      </c>
      <c r="H217" s="6" t="s">
        <v>1439</v>
      </c>
      <c r="I217" s="4"/>
      <c r="J217" s="6">
        <f>IF(I217&gt;0,PRODUCT(4620,I217),"")</f>
      </c>
    </row>
    <row r="218" spans="1:10" ht="91" customHeight="1">
      <c r="A218" s="4" t="s">
        <v>1440</v>
      </c>
      <c r="B218" s="4" t="s">
        <v>1441</v>
      </c>
      <c r="C218" s="4"/>
      <c r="D218" s="5" t="s">
        <v>1442</v>
      </c>
      <c r="E218" s="4"/>
      <c r="F218" t="s">
        <v>1443</v>
      </c>
      <c r="G218" s="6" t="s">
        <v>1444</v>
      </c>
      <c r="H218" s="6" t="s">
        <v>1445</v>
      </c>
      <c r="I218" s="4"/>
      <c r="J218" s="6">
        <f>IF(I218&gt;0,PRODUCT(5700,I218),"")</f>
      </c>
    </row>
    <row r="219" spans="1:10" s="1" customFormat="1" customHeight="1">
      <c r="A219" s="3" t="s">
        <v>1446</v>
      </c>
      <c r="B219" s="3"/>
      <c r="C219" s="3"/>
      <c r="D219" s="3"/>
      <c r="E219" s="3"/>
      <c r="F219" s="3"/>
      <c r="G219" s="3"/>
      <c r="H219" s="3"/>
      <c r="I219" s="3"/>
      <c r="J219" s="3"/>
    </row>
    <row r="220" spans="1:10" s="1" customFormat="1" customHeight="1">
      <c r="A220" s="3" t="s">
        <v>1447</v>
      </c>
      <c r="B220" s="3"/>
      <c r="C220" s="3"/>
      <c r="D220" s="3"/>
      <c r="E220" s="3"/>
      <c r="F220" s="3"/>
      <c r="G220" s="3"/>
      <c r="H220" s="3"/>
      <c r="I220" s="3"/>
      <c r="J220" s="3"/>
    </row>
    <row r="221" spans="1:10" s="1" customFormat="1" customHeight="1">
      <c r="A221" s="3" t="s">
        <v>1448</v>
      </c>
      <c r="B221" s="3"/>
      <c r="C221" s="3"/>
      <c r="D221" s="3"/>
      <c r="E221" s="3"/>
      <c r="F221" s="3"/>
      <c r="G221" s="3"/>
      <c r="H221" s="3"/>
      <c r="I221" s="3"/>
      <c r="J221" s="3"/>
    </row>
    <row r="222" spans="1:10" ht="91" customHeight="1">
      <c r="A222" s="4" t="s">
        <v>1449</v>
      </c>
      <c r="B222" s="4" t="s">
        <v>1450</v>
      </c>
      <c r="C222" s="4"/>
      <c r="D222" s="5" t="s">
        <v>1451</v>
      </c>
      <c r="E222" s="4"/>
      <c r="F222"/>
      <c r="G222" s="6" t="s">
        <v>1452</v>
      </c>
      <c r="H222" s="6" t="s">
        <v>1453</v>
      </c>
      <c r="I222" s="4"/>
      <c r="J222" s="6">
        <f>IF(I222&gt;0,PRODUCT(2220,I222),"")</f>
      </c>
    </row>
    <row r="223" spans="1:10" ht="91" customHeight="1">
      <c r="A223" s="4" t="s">
        <v>1454</v>
      </c>
      <c r="B223" s="4" t="s">
        <v>1455</v>
      </c>
      <c r="C223" s="4"/>
      <c r="D223" s="5" t="s">
        <v>1456</v>
      </c>
      <c r="E223" s="4" t="s">
        <v>1457</v>
      </c>
      <c r="F223" t="s">
        <v>1458</v>
      </c>
      <c r="G223" s="6" t="s">
        <v>1459</v>
      </c>
      <c r="H223" s="6" t="s">
        <v>1460</v>
      </c>
      <c r="I223" s="4"/>
      <c r="J223" s="6">
        <f>IF(I223&gt;0,PRODUCT(3750,I223),"")</f>
      </c>
    </row>
    <row r="224" spans="1:10" ht="91" customHeight="1">
      <c r="A224" s="4" t="s">
        <v>1461</v>
      </c>
      <c r="B224" s="4" t="s">
        <v>1462</v>
      </c>
      <c r="C224" s="4"/>
      <c r="D224" s="5" t="s">
        <v>1463</v>
      </c>
      <c r="E224" s="4"/>
      <c r="F224" t="s">
        <v>1464</v>
      </c>
      <c r="G224" s="6" t="s">
        <v>1465</v>
      </c>
      <c r="H224" s="6" t="s">
        <v>1466</v>
      </c>
      <c r="I224" s="4"/>
      <c r="J224" s="6">
        <f>IF(I224&gt;0,PRODUCT(3310,I224),"")</f>
      </c>
    </row>
    <row r="225" spans="1:10" ht="68.2" customHeight="1">
      <c r="A225" s="4" t="s">
        <v>1467</v>
      </c>
      <c r="B225" s="4" t="s">
        <v>1468</v>
      </c>
      <c r="C225" s="4"/>
      <c r="D225" s="5" t="s">
        <v>1469</v>
      </c>
      <c r="E225" s="4" t="s">
        <v>1470</v>
      </c>
      <c r="F225"/>
      <c r="G225" s="6" t="s">
        <v>1471</v>
      </c>
      <c r="H225" s="6" t="s">
        <v>1472</v>
      </c>
      <c r="I225" s="4"/>
      <c r="J225" s="6">
        <f>IF(I225&gt;0,PRODUCT(1800,I225),"")</f>
      </c>
    </row>
    <row r="226" spans="1:10" ht="67" customHeight="1">
      <c r="A226" s="4" t="s">
        <v>1473</v>
      </c>
      <c r="B226" s="4" t="s">
        <v>1474</v>
      </c>
      <c r="C226" s="4"/>
      <c r="D226" s="5" t="s">
        <v>1475</v>
      </c>
      <c r="E226" s="4"/>
      <c r="F226"/>
      <c r="G226" s="6" t="s">
        <v>1476</v>
      </c>
      <c r="H226" s="6" t="s">
        <v>1477</v>
      </c>
      <c r="I226" s="4"/>
      <c r="J226" s="6">
        <f>IF(I226&gt;0,PRODUCT(3830,I226),"")</f>
      </c>
    </row>
    <row r="227" spans="1:10" ht="68.2" customHeight="1">
      <c r="A227" s="4" t="s">
        <v>1478</v>
      </c>
      <c r="B227" s="4" t="s">
        <v>1479</v>
      </c>
      <c r="C227" s="4"/>
      <c r="D227" s="5" t="s">
        <v>1480</v>
      </c>
      <c r="E227" s="4"/>
      <c r="F227"/>
      <c r="G227" s="6" t="s">
        <v>1481</v>
      </c>
      <c r="H227" s="6" t="s">
        <v>1482</v>
      </c>
      <c r="I227" s="4"/>
      <c r="J227" s="6">
        <f>IF(I227&gt;0,PRODUCT(3800,I227),"")</f>
      </c>
    </row>
    <row r="228" spans="1:10" ht="67.6" customHeight="1">
      <c r="A228" s="4" t="s">
        <v>1483</v>
      </c>
      <c r="B228" s="4" t="s">
        <v>1484</v>
      </c>
      <c r="C228" s="4"/>
      <c r="D228" s="5" t="s">
        <v>1485</v>
      </c>
      <c r="E228" s="4"/>
      <c r="F228"/>
      <c r="G228" s="6" t="s">
        <v>1486</v>
      </c>
      <c r="H228" s="6" t="s">
        <v>1487</v>
      </c>
      <c r="I228" s="4"/>
      <c r="J228" s="6">
        <f>IF(I228&gt;0,PRODUCT(5130,I228),"")</f>
      </c>
    </row>
    <row r="229" spans="1:10" ht="91" customHeight="1">
      <c r="A229" s="4" t="s">
        <v>1488</v>
      </c>
      <c r="B229" s="4" t="s">
        <v>1489</v>
      </c>
      <c r="C229" s="4"/>
      <c r="D229" s="5" t="s">
        <v>1490</v>
      </c>
      <c r="E229" s="4"/>
      <c r="F229"/>
      <c r="G229" s="6" t="s">
        <v>1491</v>
      </c>
      <c r="H229" s="6" t="s">
        <v>1492</v>
      </c>
      <c r="I229" s="4"/>
      <c r="J229" s="6">
        <f>IF(I229&gt;0,PRODUCT(3830,I229),"")</f>
      </c>
    </row>
    <row r="230" spans="1:10" ht="62.2" customHeight="1">
      <c r="A230" s="4" t="s">
        <v>1493</v>
      </c>
      <c r="B230" s="4"/>
      <c r="C230" s="4"/>
      <c r="D230" s="5" t="s">
        <v>1494</v>
      </c>
      <c r="E230" s="4" t="s">
        <v>1495</v>
      </c>
      <c r="F230" t="s">
        <v>1496</v>
      </c>
      <c r="G230" s="6" t="s">
        <v>1497</v>
      </c>
      <c r="H230" s="6" t="s">
        <v>1498</v>
      </c>
      <c r="I230" s="4"/>
      <c r="J230" s="6">
        <f>IF(I230&gt;0,PRODUCT(3910,I230),"")</f>
      </c>
    </row>
    <row r="231" spans="1:10" ht="61" customHeight="1">
      <c r="A231" s="4" t="s">
        <v>1499</v>
      </c>
      <c r="B231" s="4" t="s">
        <v>1500</v>
      </c>
      <c r="C231" s="4"/>
      <c r="D231" s="5" t="s">
        <v>1501</v>
      </c>
      <c r="E231" s="4"/>
      <c r="F231"/>
      <c r="G231" s="6" t="s">
        <v>1502</v>
      </c>
      <c r="H231" s="6" t="s">
        <v>1503</v>
      </c>
      <c r="I231" s="4"/>
      <c r="J231" s="6">
        <f>IF(I231&gt;0,PRODUCT(1970,I231),"")</f>
      </c>
    </row>
    <row r="232" spans="1:10" ht="91" customHeight="1">
      <c r="A232" s="4" t="s">
        <v>1504</v>
      </c>
      <c r="B232" s="4" t="s">
        <v>1505</v>
      </c>
      <c r="C232" s="4"/>
      <c r="D232" s="5" t="s">
        <v>1506</v>
      </c>
      <c r="E232" s="4"/>
      <c r="F232" t="s">
        <v>1507</v>
      </c>
      <c r="G232" s="6" t="s">
        <v>1508</v>
      </c>
      <c r="H232" s="6" t="s">
        <v>1509</v>
      </c>
      <c r="I232" s="4"/>
      <c r="J232" s="6">
        <f>IF(I232&gt;0,PRODUCT(2370,I232),"")</f>
      </c>
    </row>
    <row r="233" spans="1:10" ht="91" customHeight="1">
      <c r="A233" s="4" t="s">
        <v>1510</v>
      </c>
      <c r="B233" s="4" t="s">
        <v>1511</v>
      </c>
      <c r="C233" s="4"/>
      <c r="D233" s="5" t="s">
        <v>1512</v>
      </c>
      <c r="E233" s="4"/>
      <c r="F233" t="s">
        <v>1513</v>
      </c>
      <c r="G233" s="6" t="s">
        <v>1514</v>
      </c>
      <c r="H233" s="6" t="s">
        <v>1515</v>
      </c>
      <c r="I233" s="4"/>
      <c r="J233" s="6">
        <f>IF(I233&gt;0,PRODUCT(2600,I233),"")</f>
      </c>
    </row>
    <row r="234" spans="1:10" ht="91" customHeight="1">
      <c r="A234" s="4" t="s">
        <v>1516</v>
      </c>
      <c r="B234" s="4" t="s">
        <v>1517</v>
      </c>
      <c r="C234" s="4"/>
      <c r="D234" s="5" t="s">
        <v>1518</v>
      </c>
      <c r="E234" s="4" t="s">
        <v>1519</v>
      </c>
      <c r="F234" t="s">
        <v>1520</v>
      </c>
      <c r="G234" s="6" t="s">
        <v>1521</v>
      </c>
      <c r="H234" s="6" t="s">
        <v>1522</v>
      </c>
      <c r="I234" s="4"/>
      <c r="J234" s="6">
        <f>IF(I234&gt;0,PRODUCT(2540,I234),"")</f>
      </c>
    </row>
    <row r="235" spans="1:10" ht="68.8" customHeight="1">
      <c r="A235" s="4" t="s">
        <v>1523</v>
      </c>
      <c r="B235" s="4" t="s">
        <v>1524</v>
      </c>
      <c r="C235" s="4"/>
      <c r="D235" s="5" t="s">
        <v>1525</v>
      </c>
      <c r="E235" s="4"/>
      <c r="F235"/>
      <c r="G235" s="6" t="s">
        <v>1526</v>
      </c>
      <c r="H235" s="6" t="s">
        <v>1527</v>
      </c>
      <c r="I235" s="4"/>
      <c r="J235" s="6">
        <f>IF(I235&gt;0,PRODUCT(4550,I235),"")</f>
      </c>
    </row>
    <row r="236" spans="1:10" ht="91" customHeight="1">
      <c r="A236" s="4" t="s">
        <v>1528</v>
      </c>
      <c r="B236" s="4" t="s">
        <v>1529</v>
      </c>
      <c r="C236" s="4"/>
      <c r="D236" s="5" t="s">
        <v>1530</v>
      </c>
      <c r="E236" s="4"/>
      <c r="F236"/>
      <c r="G236" s="6" t="s">
        <v>1531</v>
      </c>
      <c r="H236" s="6" t="s">
        <v>1532</v>
      </c>
      <c r="I236" s="4"/>
      <c r="J236" s="6">
        <f>IF(I236&gt;0,PRODUCT(2430,I236),"")</f>
      </c>
    </row>
    <row r="237" spans="1:10" ht="91" customHeight="1">
      <c r="A237" s="4" t="s">
        <v>1533</v>
      </c>
      <c r="B237" s="4" t="s">
        <v>1534</v>
      </c>
      <c r="C237" s="4"/>
      <c r="D237" s="5" t="s">
        <v>1535</v>
      </c>
      <c r="E237" s="4"/>
      <c r="F237"/>
      <c r="G237" s="6" t="s">
        <v>1536</v>
      </c>
      <c r="H237" s="6" t="s">
        <v>1537</v>
      </c>
      <c r="I237" s="4"/>
      <c r="J237" s="6">
        <f>IF(I237&gt;0,PRODUCT(2280,I237),"")</f>
      </c>
    </row>
    <row r="238" spans="1:10" ht="68.2" customHeight="1">
      <c r="A238" s="4" t="s">
        <v>1538</v>
      </c>
      <c r="B238" s="4" t="s">
        <v>1539</v>
      </c>
      <c r="C238" s="4"/>
      <c r="D238" s="5" t="s">
        <v>1540</v>
      </c>
      <c r="E238" s="4"/>
      <c r="F238"/>
      <c r="G238" s="6" t="s">
        <v>1541</v>
      </c>
      <c r="H238" s="6" t="s">
        <v>1542</v>
      </c>
      <c r="I238" s="4"/>
      <c r="J238" s="6">
        <f>IF(I238&gt;0,PRODUCT(2760,I238),"")</f>
      </c>
    </row>
    <row r="239" spans="1:10" ht="47.8" customHeight="1">
      <c r="A239" s="4" t="s">
        <v>1543</v>
      </c>
      <c r="B239" s="4" t="s">
        <v>1544</v>
      </c>
      <c r="C239" s="4"/>
      <c r="D239" s="5" t="s">
        <v>1545</v>
      </c>
      <c r="E239" s="4"/>
      <c r="F239"/>
      <c r="G239" s="6" t="s">
        <v>1546</v>
      </c>
      <c r="H239" s="6" t="s">
        <v>1547</v>
      </c>
      <c r="I239" s="4"/>
      <c r="J239" s="6">
        <f>IF(I239&gt;0,PRODUCT(2060,I239),"")</f>
      </c>
    </row>
    <row r="240" spans="1:10" ht="91" customHeight="1">
      <c r="A240" s="4" t="s">
        <v>1548</v>
      </c>
      <c r="B240" s="4" t="s">
        <v>1549</v>
      </c>
      <c r="C240" s="4"/>
      <c r="D240" s="5" t="s">
        <v>1550</v>
      </c>
      <c r="E240" s="4" t="s">
        <v>1551</v>
      </c>
      <c r="F240"/>
      <c r="G240" s="6" t="s">
        <v>1552</v>
      </c>
      <c r="H240" s="6" t="s">
        <v>1553</v>
      </c>
      <c r="I240" s="4"/>
      <c r="J240" s="6">
        <f>IF(I240&gt;0,PRODUCT(2100,I240),"")</f>
      </c>
    </row>
    <row r="241" spans="1:10" s="1" customFormat="1" customHeight="1">
      <c r="A241" s="3" t="s">
        <v>1554</v>
      </c>
      <c r="B241" s="3"/>
      <c r="C241" s="3"/>
      <c r="D241" s="3"/>
      <c r="E241" s="3"/>
      <c r="F241" s="3"/>
      <c r="G241" s="3"/>
      <c r="H241" s="3"/>
      <c r="I241" s="3"/>
      <c r="J241" s="3"/>
    </row>
    <row r="242" spans="1:10" s="1" customFormat="1" customHeight="1">
      <c r="A242" s="3" t="s">
        <v>1555</v>
      </c>
      <c r="B242" s="3"/>
      <c r="C242" s="3"/>
      <c r="D242" s="3"/>
      <c r="E242" s="3"/>
      <c r="F242" s="3"/>
      <c r="G242" s="3"/>
      <c r="H242" s="3"/>
      <c r="I242" s="3"/>
      <c r="J242" s="3"/>
    </row>
    <row r="243" spans="1:10" ht="91" customHeight="1">
      <c r="A243" s="4" t="s">
        <v>1556</v>
      </c>
      <c r="B243" s="4" t="s">
        <v>1557</v>
      </c>
      <c r="C243" s="4"/>
      <c r="D243" s="5" t="s">
        <v>1558</v>
      </c>
      <c r="E243" s="4" t="s">
        <v>1559</v>
      </c>
      <c r="F243" t="s">
        <v>1560</v>
      </c>
      <c r="G243" s="6" t="s">
        <v>1561</v>
      </c>
      <c r="H243" s="6" t="s">
        <v>1562</v>
      </c>
      <c r="I243" s="4"/>
      <c r="J243" s="6">
        <f>IF(I243&gt;0,PRODUCT(3050,I243),"")</f>
      </c>
    </row>
    <row r="244" spans="1:10" ht="73" customHeight="1">
      <c r="A244" s="4" t="s">
        <v>1563</v>
      </c>
      <c r="B244" s="4" t="s">
        <v>1564</v>
      </c>
      <c r="C244" s="4"/>
      <c r="D244" s="5" t="s">
        <v>1565</v>
      </c>
      <c r="E244" s="4"/>
      <c r="F244" t="s">
        <v>1566</v>
      </c>
      <c r="G244" s="6" t="s">
        <v>1567</v>
      </c>
      <c r="H244" s="6" t="s">
        <v>1568</v>
      </c>
      <c r="I244" s="4"/>
      <c r="J244" s="6">
        <f>IF(I244&gt;0,PRODUCT(3112,I244),"")</f>
      </c>
    </row>
    <row r="245" spans="1:10" ht="69.4" customHeight="1">
      <c r="A245" s="4" t="s">
        <v>1569</v>
      </c>
      <c r="B245" s="4" t="s">
        <v>1570</v>
      </c>
      <c r="C245" s="4"/>
      <c r="D245" s="5" t="s">
        <v>1571</v>
      </c>
      <c r="E245" s="4"/>
      <c r="F245"/>
      <c r="G245" s="6" t="s">
        <v>1572</v>
      </c>
      <c r="H245" s="6" t="s">
        <v>1573</v>
      </c>
      <c r="I245" s="4"/>
      <c r="J245" s="6">
        <f>IF(I245&gt;0,PRODUCT(2880,I245),"")</f>
      </c>
    </row>
    <row r="246" spans="1:10" ht="91" customHeight="1">
      <c r="A246" s="4" t="s">
        <v>1574</v>
      </c>
      <c r="B246" s="4" t="s">
        <v>1575</v>
      </c>
      <c r="C246" s="4"/>
      <c r="D246" s="5" t="s">
        <v>1576</v>
      </c>
      <c r="E246" s="4"/>
      <c r="F246"/>
      <c r="G246" s="6" t="s">
        <v>1577</v>
      </c>
      <c r="H246" s="6" t="s">
        <v>1578</v>
      </c>
      <c r="I246" s="4"/>
      <c r="J246" s="6">
        <f>IF(I246&gt;0,PRODUCT(2900,I246),"")</f>
      </c>
    </row>
    <row r="247" spans="1:10" ht="91" customHeight="1">
      <c r="A247" s="4" t="s">
        <v>1579</v>
      </c>
      <c r="B247" s="4" t="s">
        <v>1580</v>
      </c>
      <c r="C247" s="4"/>
      <c r="D247" s="5" t="s">
        <v>1581</v>
      </c>
      <c r="E247" s="4"/>
      <c r="F247"/>
      <c r="G247" s="6" t="s">
        <v>1582</v>
      </c>
      <c r="H247" s="6" t="s">
        <v>1583</v>
      </c>
      <c r="I247" s="4"/>
      <c r="J247" s="6">
        <f>IF(I247&gt;0,PRODUCT(2930,I247),"")</f>
      </c>
    </row>
    <row r="248" spans="1:10" ht="74.2" customHeight="1">
      <c r="A248" s="4" t="s">
        <v>1584</v>
      </c>
      <c r="B248" s="4" t="s">
        <v>1585</v>
      </c>
      <c r="C248" s="4"/>
      <c r="D248" s="5" t="s">
        <v>1586</v>
      </c>
      <c r="E248" s="4"/>
      <c r="F248"/>
      <c r="G248" s="6" t="s">
        <v>1587</v>
      </c>
      <c r="H248" s="6" t="s">
        <v>1588</v>
      </c>
      <c r="I248" s="4"/>
      <c r="J248" s="6">
        <f>IF(I248&gt;0,PRODUCT(2760,I248),"")</f>
      </c>
    </row>
    <row r="249" spans="1:10" ht="91" customHeight="1">
      <c r="A249" s="4" t="s">
        <v>1589</v>
      </c>
      <c r="B249" s="4" t="s">
        <v>1590</v>
      </c>
      <c r="C249" s="4"/>
      <c r="D249" s="5" t="s">
        <v>1591</v>
      </c>
      <c r="E249" s="4"/>
      <c r="F249"/>
      <c r="G249" s="6" t="s">
        <v>1592</v>
      </c>
      <c r="H249" s="6" t="s">
        <v>1593</v>
      </c>
      <c r="I249" s="4"/>
      <c r="J249" s="6">
        <f>IF(I249&gt;0,PRODUCT(2660,I249),"")</f>
      </c>
    </row>
    <row r="250" spans="1:10" ht="91" customHeight="1">
      <c r="A250" s="4" t="s">
        <v>1594</v>
      </c>
      <c r="B250" s="4" t="s">
        <v>1595</v>
      </c>
      <c r="C250" s="4"/>
      <c r="D250" s="5" t="s">
        <v>1596</v>
      </c>
      <c r="E250" s="4"/>
      <c r="F250"/>
      <c r="G250" s="6" t="s">
        <v>1597</v>
      </c>
      <c r="H250" s="6" t="s">
        <v>1598</v>
      </c>
      <c r="I250" s="4"/>
      <c r="J250" s="6">
        <f>IF(I250&gt;0,PRODUCT(2700,I250),"")</f>
      </c>
    </row>
    <row r="251" spans="1:10" ht="59.2" customHeight="1">
      <c r="A251" s="4" t="s">
        <v>1599</v>
      </c>
      <c r="B251" s="4" t="s">
        <v>1600</v>
      </c>
      <c r="C251" s="4"/>
      <c r="D251" s="5" t="s">
        <v>1601</v>
      </c>
      <c r="E251" s="4"/>
      <c r="F251"/>
      <c r="G251" s="6" t="s">
        <v>1602</v>
      </c>
      <c r="H251" s="6" t="s">
        <v>1603</v>
      </c>
      <c r="I251" s="4"/>
      <c r="J251" s="6">
        <f>IF(I251&gt;0,PRODUCT(2720,I251),"")</f>
      </c>
    </row>
    <row r="252" spans="1:10" ht="91" customHeight="1">
      <c r="A252" s="4" t="s">
        <v>1604</v>
      </c>
      <c r="B252" s="4" t="s">
        <v>1605</v>
      </c>
      <c r="C252" s="4"/>
      <c r="D252" s="5" t="s">
        <v>1606</v>
      </c>
      <c r="E252" s="4"/>
      <c r="F252" t="s">
        <v>1607</v>
      </c>
      <c r="G252" s="6" t="s">
        <v>1608</v>
      </c>
      <c r="H252" s="6" t="s">
        <v>1609</v>
      </c>
      <c r="I252" s="4"/>
      <c r="J252" s="6">
        <f>IF(I252&gt;0,PRODUCT(3446,I252),"")</f>
      </c>
    </row>
    <row r="253" spans="1:10" ht="91" customHeight="1">
      <c r="A253" s="4" t="s">
        <v>1610</v>
      </c>
      <c r="B253" s="4" t="s">
        <v>1611</v>
      </c>
      <c r="C253" s="4"/>
      <c r="D253" s="5" t="s">
        <v>1612</v>
      </c>
      <c r="E253" s="4"/>
      <c r="F253"/>
      <c r="G253" s="6" t="s">
        <v>1613</v>
      </c>
      <c r="H253" s="6" t="s">
        <v>1614</v>
      </c>
      <c r="I253" s="4"/>
      <c r="J253" s="6">
        <f>IF(I253&gt;0,PRODUCT(2780,I253),"")</f>
      </c>
    </row>
    <row r="254" spans="1:10" ht="91" customHeight="1">
      <c r="A254" s="4" t="s">
        <v>1615</v>
      </c>
      <c r="B254" s="4" t="s">
        <v>1616</v>
      </c>
      <c r="C254" s="4"/>
      <c r="D254" s="5" t="s">
        <v>1617</v>
      </c>
      <c r="E254" s="4"/>
      <c r="F254" t="s">
        <v>1618</v>
      </c>
      <c r="G254" s="6" t="s">
        <v>1619</v>
      </c>
      <c r="H254" s="6" t="s">
        <v>1620</v>
      </c>
      <c r="I254" s="4"/>
      <c r="J254" s="6">
        <f>IF(I254&gt;0,PRODUCT(2750,I254),"")</f>
      </c>
    </row>
    <row r="255" spans="1:10" ht="91" customHeight="1">
      <c r="A255" s="4" t="s">
        <v>1621</v>
      </c>
      <c r="B255" s="4" t="s">
        <v>1622</v>
      </c>
      <c r="C255" s="4"/>
      <c r="D255" s="5" t="s">
        <v>1623</v>
      </c>
      <c r="E255" s="4" t="s">
        <v>1624</v>
      </c>
      <c r="F255"/>
      <c r="G255" s="6" t="s">
        <v>1625</v>
      </c>
      <c r="H255" s="6" t="s">
        <v>1626</v>
      </c>
      <c r="I255" s="4"/>
      <c r="J255" s="6">
        <f>IF(I255&gt;0,PRODUCT(2960,I255),"")</f>
      </c>
    </row>
    <row r="256" spans="1:10" ht="91" customHeight="1">
      <c r="A256" s="4" t="s">
        <v>1627</v>
      </c>
      <c r="B256" s="4" t="s">
        <v>1628</v>
      </c>
      <c r="C256" s="4"/>
      <c r="D256" s="5" t="s">
        <v>1629</v>
      </c>
      <c r="E256" s="4"/>
      <c r="F256"/>
      <c r="G256" s="6" t="s">
        <v>1630</v>
      </c>
      <c r="H256" s="6" t="s">
        <v>1631</v>
      </c>
      <c r="I256" s="4"/>
      <c r="J256" s="6">
        <f>IF(I256&gt;0,PRODUCT(2780,I256),"")</f>
      </c>
    </row>
    <row r="257" spans="1:10" ht="91" customHeight="1">
      <c r="A257" s="4" t="s">
        <v>1632</v>
      </c>
      <c r="B257" s="4" t="s">
        <v>1633</v>
      </c>
      <c r="C257" s="4"/>
      <c r="D257" s="5" t="s">
        <v>1634</v>
      </c>
      <c r="E257" s="4"/>
      <c r="F257" t="s">
        <v>1635</v>
      </c>
      <c r="G257" s="6" t="s">
        <v>1636</v>
      </c>
      <c r="H257" s="6" t="s">
        <v>1637</v>
      </c>
      <c r="I257" s="4"/>
      <c r="J257" s="6">
        <f>IF(I257&gt;0,PRODUCT(2741,I257),"")</f>
      </c>
    </row>
    <row r="258" spans="1:10" ht="91" customHeight="1">
      <c r="A258" s="4" t="s">
        <v>1638</v>
      </c>
      <c r="B258" s="4" t="s">
        <v>1639</v>
      </c>
      <c r="C258" s="4"/>
      <c r="D258" s="5" t="s">
        <v>1640</v>
      </c>
      <c r="E258" s="4"/>
      <c r="F258"/>
      <c r="G258" s="6" t="s">
        <v>1641</v>
      </c>
      <c r="H258" s="6" t="s">
        <v>1642</v>
      </c>
      <c r="I258" s="4"/>
      <c r="J258" s="6">
        <f>IF(I258&gt;0,PRODUCT(2680,I258),"")</f>
      </c>
    </row>
    <row r="259" spans="1:10" ht="68.2" customHeight="1">
      <c r="A259" s="4" t="s">
        <v>1643</v>
      </c>
      <c r="B259" s="4" t="s">
        <v>1644</v>
      </c>
      <c r="C259" s="4"/>
      <c r="D259" s="5" t="s">
        <v>1645</v>
      </c>
      <c r="E259" s="4"/>
      <c r="F259"/>
      <c r="G259" s="6" t="s">
        <v>1646</v>
      </c>
      <c r="H259" s="6" t="s">
        <v>1647</v>
      </c>
      <c r="I259" s="4"/>
      <c r="J259" s="6">
        <f>IF(I259&gt;0,PRODUCT(2955,I259),"")</f>
      </c>
    </row>
    <row r="260" spans="1:10" ht="74.2" customHeight="1">
      <c r="A260" s="4" t="s">
        <v>1648</v>
      </c>
      <c r="B260" s="4" t="s">
        <v>1649</v>
      </c>
      <c r="C260" s="4"/>
      <c r="D260" s="5" t="s">
        <v>1650</v>
      </c>
      <c r="E260" s="4"/>
      <c r="F260" t="s">
        <v>1651</v>
      </c>
      <c r="G260" s="6" t="s">
        <v>1652</v>
      </c>
      <c r="H260" s="6" t="s">
        <v>1653</v>
      </c>
      <c r="I260" s="4"/>
      <c r="J260" s="6">
        <f>IF(I260&gt;0,PRODUCT(2940,I260),"")</f>
      </c>
    </row>
    <row r="261" spans="1:10" ht="53.2" customHeight="1">
      <c r="A261" s="4" t="s">
        <v>1654</v>
      </c>
      <c r="B261" s="4" t="s">
        <v>1655</v>
      </c>
      <c r="C261" s="4"/>
      <c r="D261" s="5" t="s">
        <v>1656</v>
      </c>
      <c r="E261" s="4"/>
      <c r="F261" t="s">
        <v>1657</v>
      </c>
      <c r="G261" s="6" t="s">
        <v>1658</v>
      </c>
      <c r="H261" s="6" t="s">
        <v>1659</v>
      </c>
      <c r="I261" s="4"/>
      <c r="J261" s="6">
        <f>IF(I261&gt;0,PRODUCT(3580,I261),"")</f>
      </c>
    </row>
    <row r="262" spans="1:10" ht="91" customHeight="1">
      <c r="A262" s="4" t="s">
        <v>1660</v>
      </c>
      <c r="B262" s="4" t="s">
        <v>1661</v>
      </c>
      <c r="C262" s="4"/>
      <c r="D262" s="5" t="s">
        <v>1662</v>
      </c>
      <c r="E262" s="4"/>
      <c r="F262" t="s">
        <v>1663</v>
      </c>
      <c r="G262" s="6" t="s">
        <v>1664</v>
      </c>
      <c r="H262" s="6" t="s">
        <v>1665</v>
      </c>
      <c r="I262" s="4"/>
      <c r="J262" s="6">
        <f>IF(I262&gt;0,PRODUCT(3330,I262),"")</f>
      </c>
    </row>
    <row r="263" spans="1:10" ht="78.4" customHeight="1">
      <c r="A263" s="4" t="s">
        <v>1666</v>
      </c>
      <c r="B263" s="4" t="s">
        <v>1667</v>
      </c>
      <c r="C263" s="4"/>
      <c r="D263" s="5" t="s">
        <v>1668</v>
      </c>
      <c r="E263" s="4"/>
      <c r="F263" t="s">
        <v>1669</v>
      </c>
      <c r="G263" s="6" t="s">
        <v>1670</v>
      </c>
      <c r="H263" s="6" t="s">
        <v>1671</v>
      </c>
      <c r="I263" s="4"/>
      <c r="J263" s="6">
        <f>IF(I263&gt;0,PRODUCT(2720,I263),"")</f>
      </c>
    </row>
    <row r="264" spans="1:10" ht="91" customHeight="1">
      <c r="A264" s="4" t="s">
        <v>1672</v>
      </c>
      <c r="B264" s="4" t="s">
        <v>1673</v>
      </c>
      <c r="C264" s="4"/>
      <c r="D264" s="5" t="s">
        <v>1674</v>
      </c>
      <c r="E264" s="4" t="s">
        <v>1675</v>
      </c>
      <c r="F264"/>
      <c r="G264" s="6" t="s">
        <v>1676</v>
      </c>
      <c r="H264" s="6" t="s">
        <v>1677</v>
      </c>
      <c r="I264" s="4"/>
      <c r="J264" s="6">
        <f>IF(I264&gt;0,PRODUCT(3030,I264),"")</f>
      </c>
    </row>
    <row r="265" spans="1:10" ht="91" customHeight="1">
      <c r="A265" s="4" t="s">
        <v>1678</v>
      </c>
      <c r="B265" s="4" t="s">
        <v>1679</v>
      </c>
      <c r="C265" s="4"/>
      <c r="D265" s="5" t="s">
        <v>1680</v>
      </c>
      <c r="E265" s="4"/>
      <c r="F265" t="s">
        <v>1681</v>
      </c>
      <c r="G265" s="6" t="s">
        <v>1682</v>
      </c>
      <c r="H265" s="6" t="s">
        <v>1683</v>
      </c>
      <c r="I265" s="4"/>
      <c r="J265" s="6">
        <f>IF(I265&gt;0,PRODUCT(3040,I265),"")</f>
      </c>
    </row>
    <row r="266" spans="1:10" ht="91" customHeight="1">
      <c r="A266" s="4" t="s">
        <v>1684</v>
      </c>
      <c r="B266" s="4" t="s">
        <v>1685</v>
      </c>
      <c r="C266" s="4"/>
      <c r="D266" s="5" t="s">
        <v>1686</v>
      </c>
      <c r="E266" s="4" t="s">
        <v>1687</v>
      </c>
      <c r="F266" t="s">
        <v>1688</v>
      </c>
      <c r="G266" s="6" t="s">
        <v>1689</v>
      </c>
      <c r="H266" s="6" t="s">
        <v>1690</v>
      </c>
      <c r="I266" s="4"/>
      <c r="J266" s="6">
        <f>IF(I266&gt;0,PRODUCT(3490,I266),"")</f>
      </c>
    </row>
    <row r="267" spans="1:10" ht="91" customHeight="1">
      <c r="A267" s="4" t="s">
        <v>1691</v>
      </c>
      <c r="B267" s="4" t="s">
        <v>1692</v>
      </c>
      <c r="C267" s="4"/>
      <c r="D267" s="5" t="s">
        <v>1693</v>
      </c>
      <c r="E267" s="4"/>
      <c r="F267" t="s">
        <v>1694</v>
      </c>
      <c r="G267" s="6" t="s">
        <v>1695</v>
      </c>
      <c r="H267" s="6" t="s">
        <v>1696</v>
      </c>
      <c r="I267" s="4"/>
      <c r="J267" s="6">
        <f>IF(I267&gt;0,PRODUCT(5180,I267),"")</f>
      </c>
    </row>
    <row r="268" spans="1:10" ht="91" customHeight="1">
      <c r="A268" s="4" t="s">
        <v>1697</v>
      </c>
      <c r="B268" s="4" t="s">
        <v>1698</v>
      </c>
      <c r="C268" s="4"/>
      <c r="D268" s="5" t="s">
        <v>1699</v>
      </c>
      <c r="E268" s="4" t="s">
        <v>1700</v>
      </c>
      <c r="F268" t="s">
        <v>1701</v>
      </c>
      <c r="G268" s="6" t="s">
        <v>1702</v>
      </c>
      <c r="H268" s="6" t="s">
        <v>1703</v>
      </c>
      <c r="I268" s="4"/>
      <c r="J268" s="6">
        <f>IF(I268&gt;0,PRODUCT(4020,I268),"")</f>
      </c>
    </row>
    <row r="269" spans="1:10" ht="91" customHeight="1">
      <c r="A269" s="4" t="s">
        <v>1704</v>
      </c>
      <c r="B269" s="4" t="s">
        <v>1705</v>
      </c>
      <c r="C269" s="4"/>
      <c r="D269" s="5" t="s">
        <v>1706</v>
      </c>
      <c r="E269" s="4" t="s">
        <v>1707</v>
      </c>
      <c r="F269" t="s">
        <v>1708</v>
      </c>
      <c r="G269" s="6" t="s">
        <v>1709</v>
      </c>
      <c r="H269" s="6" t="s">
        <v>1710</v>
      </c>
      <c r="I269" s="4"/>
      <c r="J269" s="6">
        <f>IF(I269&gt;0,PRODUCT(3780,I269),"")</f>
      </c>
    </row>
    <row r="270" spans="1:10" ht="68.8" customHeight="1">
      <c r="A270" s="4" t="s">
        <v>1711</v>
      </c>
      <c r="B270" s="4" t="s">
        <v>1712</v>
      </c>
      <c r="C270" s="4"/>
      <c r="D270" s="5" t="s">
        <v>1713</v>
      </c>
      <c r="E270" s="4"/>
      <c r="F270" t="s">
        <v>1714</v>
      </c>
      <c r="G270" s="6" t="s">
        <v>1715</v>
      </c>
      <c r="H270" s="6" t="s">
        <v>1716</v>
      </c>
      <c r="I270" s="4"/>
      <c r="J270" s="6">
        <f>IF(I270&gt;0,PRODUCT(6370,I270),"")</f>
      </c>
    </row>
    <row r="271" spans="1:10" ht="80.8" customHeight="1">
      <c r="A271" s="4" t="s">
        <v>1717</v>
      </c>
      <c r="B271" s="4" t="s">
        <v>1718</v>
      </c>
      <c r="C271" s="4"/>
      <c r="D271" s="5" t="s">
        <v>1719</v>
      </c>
      <c r="E271" s="4"/>
      <c r="F271" t="s">
        <v>1720</v>
      </c>
      <c r="G271" s="6" t="s">
        <v>1721</v>
      </c>
      <c r="H271" s="6" t="s">
        <v>1722</v>
      </c>
      <c r="I271" s="4"/>
      <c r="J271" s="6">
        <f>IF(I271&gt;0,PRODUCT(5670,I271),"")</f>
      </c>
    </row>
    <row r="272" spans="1:10" ht="69.4" customHeight="1">
      <c r="A272" s="4" t="s">
        <v>1723</v>
      </c>
      <c r="B272" s="4" t="s">
        <v>1724</v>
      </c>
      <c r="C272" s="4"/>
      <c r="D272" s="5" t="s">
        <v>1725</v>
      </c>
      <c r="E272" s="4"/>
      <c r="F272" t="s">
        <v>1726</v>
      </c>
      <c r="G272" s="6" t="s">
        <v>1727</v>
      </c>
      <c r="H272" s="6" t="s">
        <v>1728</v>
      </c>
      <c r="I272" s="4"/>
      <c r="J272" s="6">
        <f>IF(I272&gt;0,PRODUCT(4950,I272),"")</f>
      </c>
    </row>
    <row r="273" spans="1:10" ht="91" customHeight="1">
      <c r="A273" s="4" t="s">
        <v>1729</v>
      </c>
      <c r="B273" s="4" t="s">
        <v>1730</v>
      </c>
      <c r="C273" s="4"/>
      <c r="D273" s="5" t="s">
        <v>1731</v>
      </c>
      <c r="E273" s="4"/>
      <c r="F273" t="s">
        <v>1732</v>
      </c>
      <c r="G273" s="6" t="s">
        <v>1733</v>
      </c>
      <c r="H273" s="6" t="s">
        <v>1734</v>
      </c>
      <c r="I273" s="4"/>
      <c r="J273" s="6">
        <f>IF(I273&gt;0,PRODUCT(2700,I273),"")</f>
      </c>
    </row>
    <row r="274" spans="1:10" ht="91" customHeight="1">
      <c r="A274" s="4" t="s">
        <v>1735</v>
      </c>
      <c r="B274" s="4" t="s">
        <v>1736</v>
      </c>
      <c r="C274" s="4"/>
      <c r="D274" s="5" t="s">
        <v>1737</v>
      </c>
      <c r="E274" s="4"/>
      <c r="F274"/>
      <c r="G274" s="6" t="s">
        <v>1738</v>
      </c>
      <c r="H274" s="6" t="s">
        <v>1739</v>
      </c>
      <c r="I274" s="4"/>
      <c r="J274" s="6">
        <f>IF(I274&gt;0,PRODUCT(2650,I274),"")</f>
      </c>
    </row>
    <row r="275" spans="1:10" ht="83.2" customHeight="1">
      <c r="A275" s="4" t="s">
        <v>1740</v>
      </c>
      <c r="B275" s="4" t="s">
        <v>1741</v>
      </c>
      <c r="C275" s="4"/>
      <c r="D275" s="5" t="s">
        <v>1742</v>
      </c>
      <c r="E275" s="4"/>
      <c r="F275" t="s">
        <v>1743</v>
      </c>
      <c r="G275" s="6" t="s">
        <v>1744</v>
      </c>
      <c r="H275" s="6" t="s">
        <v>1745</v>
      </c>
      <c r="I275" s="4"/>
      <c r="J275" s="6">
        <f>IF(I275&gt;0,PRODUCT(4400,I275),"")</f>
      </c>
    </row>
    <row r="276" spans="1:10" ht="61.6" customHeight="1">
      <c r="A276" s="4" t="s">
        <v>1746</v>
      </c>
      <c r="B276" s="4" t="s">
        <v>1747</v>
      </c>
      <c r="C276" s="4"/>
      <c r="D276" s="5" t="s">
        <v>1748</v>
      </c>
      <c r="E276" s="4"/>
      <c r="F276" t="s">
        <v>1749</v>
      </c>
      <c r="G276" s="6" t="s">
        <v>1750</v>
      </c>
      <c r="H276" s="6" t="s">
        <v>1751</v>
      </c>
      <c r="I276" s="4"/>
      <c r="J276" s="6">
        <f>IF(I276&gt;0,PRODUCT(5250,I276),"")</f>
      </c>
    </row>
    <row r="277" spans="1:10" ht="61.6" customHeight="1">
      <c r="A277" s="4" t="s">
        <v>1752</v>
      </c>
      <c r="B277" s="4" t="s">
        <v>1753</v>
      </c>
      <c r="C277" s="4"/>
      <c r="D277" s="5" t="s">
        <v>1754</v>
      </c>
      <c r="E277" s="4"/>
      <c r="F277" t="s">
        <v>1755</v>
      </c>
      <c r="G277" s="6" t="s">
        <v>1756</v>
      </c>
      <c r="H277" s="6" t="s">
        <v>1757</v>
      </c>
      <c r="I277" s="4"/>
      <c r="J277" s="6">
        <f>IF(I277&gt;0,PRODUCT(3670,I277),"")</f>
      </c>
    </row>
    <row r="278" spans="1:10" ht="61" customHeight="1">
      <c r="A278" s="4" t="s">
        <v>1758</v>
      </c>
      <c r="B278" s="4" t="s">
        <v>1759</v>
      </c>
      <c r="C278" s="4"/>
      <c r="D278" s="5" t="s">
        <v>1760</v>
      </c>
      <c r="E278" s="4"/>
      <c r="F278"/>
      <c r="G278" s="6" t="s">
        <v>1761</v>
      </c>
      <c r="H278" s="6" t="s">
        <v>1762</v>
      </c>
      <c r="I278" s="4"/>
      <c r="J278" s="6">
        <f>IF(I278&gt;0,PRODUCT(2600,I278),"")</f>
      </c>
    </row>
    <row r="279" spans="1:10" ht="91" customHeight="1">
      <c r="A279" s="4" t="s">
        <v>1763</v>
      </c>
      <c r="B279" s="4" t="s">
        <v>1764</v>
      </c>
      <c r="C279" s="4"/>
      <c r="D279" s="5" t="s">
        <v>1765</v>
      </c>
      <c r="E279" s="4"/>
      <c r="F279" t="s">
        <v>1766</v>
      </c>
      <c r="G279" s="6" t="s">
        <v>1767</v>
      </c>
      <c r="H279" s="6" t="s">
        <v>1768</v>
      </c>
      <c r="I279" s="4"/>
      <c r="J279" s="6">
        <f>IF(I279&gt;0,PRODUCT(3095,I279),"")</f>
      </c>
    </row>
    <row r="280" spans="1:10" ht="53.2" customHeight="1">
      <c r="A280" s="4" t="s">
        <v>1769</v>
      </c>
      <c r="B280" s="4" t="s">
        <v>1770</v>
      </c>
      <c r="C280" s="4"/>
      <c r="D280" s="5" t="s">
        <v>1771</v>
      </c>
      <c r="E280" s="4" t="s">
        <v>1772</v>
      </c>
      <c r="F280" t="s">
        <v>1773</v>
      </c>
      <c r="G280" s="6" t="s">
        <v>1774</v>
      </c>
      <c r="H280" s="6" t="s">
        <v>1775</v>
      </c>
      <c r="I280" s="4"/>
      <c r="J280" s="6">
        <f>IF(I280&gt;0,PRODUCT(3090,I280),"")</f>
      </c>
    </row>
    <row r="281" spans="1:10" ht="70" customHeight="1">
      <c r="A281" s="4" t="s">
        <v>1776</v>
      </c>
      <c r="B281" s="4" t="s">
        <v>1777</v>
      </c>
      <c r="C281" s="4"/>
      <c r="D281" s="5" t="s">
        <v>1778</v>
      </c>
      <c r="E281" s="4"/>
      <c r="F281"/>
      <c r="G281" s="6" t="s">
        <v>1779</v>
      </c>
      <c r="H281" s="6" t="s">
        <v>1780</v>
      </c>
      <c r="I281" s="4"/>
      <c r="J281" s="6">
        <f>IF(I281&gt;0,PRODUCT(2690,I281),"")</f>
      </c>
    </row>
    <row r="282" spans="1:10" ht="62.8" customHeight="1">
      <c r="A282" s="4" t="s">
        <v>1781</v>
      </c>
      <c r="B282" s="4" t="s">
        <v>1782</v>
      </c>
      <c r="C282" s="4"/>
      <c r="D282" s="5" t="s">
        <v>1783</v>
      </c>
      <c r="E282" s="4"/>
      <c r="F282" t="s">
        <v>1784</v>
      </c>
      <c r="G282" s="6" t="s">
        <v>1785</v>
      </c>
      <c r="H282" s="6" t="s">
        <v>1786</v>
      </c>
      <c r="I282" s="4"/>
      <c r="J282" s="6">
        <f>IF(I282&gt;0,PRODUCT(2525,I282),"")</f>
      </c>
    </row>
    <row r="283" spans="1:10" ht="62.8" customHeight="1">
      <c r="A283" s="4" t="s">
        <v>1787</v>
      </c>
      <c r="B283" s="4" t="s">
        <v>1788</v>
      </c>
      <c r="C283" s="4"/>
      <c r="D283" s="5" t="s">
        <v>1789</v>
      </c>
      <c r="E283" s="4"/>
      <c r="F283" t="s">
        <v>1790</v>
      </c>
      <c r="G283" s="6" t="s">
        <v>1791</v>
      </c>
      <c r="H283" s="6" t="s">
        <v>1792</v>
      </c>
      <c r="I283" s="4"/>
      <c r="J283" s="6">
        <f>IF(I283&gt;0,PRODUCT(2525,I283),"")</f>
      </c>
    </row>
    <row r="284" spans="1:10" ht="85.6" customHeight="1">
      <c r="A284" s="4" t="s">
        <v>1793</v>
      </c>
      <c r="B284" s="4" t="s">
        <v>1794</v>
      </c>
      <c r="C284" s="4"/>
      <c r="D284" s="5" t="s">
        <v>1795</v>
      </c>
      <c r="E284" s="4"/>
      <c r="F284" t="s">
        <v>1796</v>
      </c>
      <c r="G284" s="6" t="s">
        <v>1797</v>
      </c>
      <c r="H284" s="6" t="s">
        <v>1798</v>
      </c>
      <c r="I284" s="4"/>
      <c r="J284" s="6">
        <f>IF(I284&gt;0,PRODUCT(2950,I284),"")</f>
      </c>
    </row>
    <row r="285" spans="1:10" ht="68.8" customHeight="1">
      <c r="A285" s="4" t="s">
        <v>1799</v>
      </c>
      <c r="B285" s="4" t="s">
        <v>1800</v>
      </c>
      <c r="C285" s="4"/>
      <c r="D285" s="5" t="s">
        <v>1801</v>
      </c>
      <c r="E285" s="4"/>
      <c r="F285"/>
      <c r="G285" s="6" t="s">
        <v>1802</v>
      </c>
      <c r="H285" s="6" t="s">
        <v>1803</v>
      </c>
      <c r="I285" s="4"/>
      <c r="J285" s="6">
        <f>IF(I285&gt;0,PRODUCT(2640,I285),"")</f>
      </c>
    </row>
    <row r="286" spans="1:10" ht="68.8" customHeight="1">
      <c r="A286" s="4" t="s">
        <v>1804</v>
      </c>
      <c r="B286" s="4" t="s">
        <v>1805</v>
      </c>
      <c r="C286" s="4"/>
      <c r="D286" s="5" t="s">
        <v>1806</v>
      </c>
      <c r="E286" s="4"/>
      <c r="F286" t="s">
        <v>1807</v>
      </c>
      <c r="G286" s="6" t="s">
        <v>1808</v>
      </c>
      <c r="H286" s="6" t="s">
        <v>1809</v>
      </c>
      <c r="I286" s="4"/>
      <c r="J286" s="6">
        <f>IF(I286&gt;0,PRODUCT(3700,I286),"")</f>
      </c>
    </row>
    <row r="287" spans="1:10" ht="91" customHeight="1">
      <c r="A287" s="4" t="s">
        <v>1810</v>
      </c>
      <c r="B287" s="4" t="s">
        <v>1811</v>
      </c>
      <c r="C287" s="4"/>
      <c r="D287" s="5" t="s">
        <v>1812</v>
      </c>
      <c r="E287" s="4"/>
      <c r="F287"/>
      <c r="G287" s="6" t="s">
        <v>1813</v>
      </c>
      <c r="H287" s="6" t="s">
        <v>1814</v>
      </c>
      <c r="I287" s="4"/>
      <c r="J287" s="6">
        <f>IF(I287&gt;0,PRODUCT(2875,I287),"")</f>
      </c>
    </row>
    <row r="288" spans="1:10" ht="62.8" customHeight="1">
      <c r="A288" s="4" t="s">
        <v>1815</v>
      </c>
      <c r="B288" s="4" t="s">
        <v>1816</v>
      </c>
      <c r="C288" s="4"/>
      <c r="D288" s="5" t="s">
        <v>1817</v>
      </c>
      <c r="E288" s="4"/>
      <c r="F288" t="s">
        <v>1818</v>
      </c>
      <c r="G288" s="6" t="s">
        <v>1819</v>
      </c>
      <c r="H288" s="6" t="s">
        <v>1820</v>
      </c>
      <c r="I288" s="4"/>
      <c r="J288" s="6">
        <f>IF(I288&gt;0,PRODUCT(2960,I288),"")</f>
      </c>
    </row>
    <row r="289" spans="1:10" ht="61.6" customHeight="1">
      <c r="A289" s="4" t="s">
        <v>1821</v>
      </c>
      <c r="B289" s="4" t="s">
        <v>1822</v>
      </c>
      <c r="C289" s="4"/>
      <c r="D289" s="5" t="s">
        <v>1823</v>
      </c>
      <c r="E289" s="4"/>
      <c r="F289"/>
      <c r="G289" s="6" t="s">
        <v>1824</v>
      </c>
      <c r="H289" s="6" t="s">
        <v>1825</v>
      </c>
      <c r="I289" s="4"/>
      <c r="J289" s="6">
        <f>IF(I289&gt;0,PRODUCT(3102,I289),"")</f>
      </c>
    </row>
    <row r="290" spans="1:10" ht="91" customHeight="1">
      <c r="A290" s="4" t="s">
        <v>1826</v>
      </c>
      <c r="B290" s="4" t="s">
        <v>1827</v>
      </c>
      <c r="C290" s="4"/>
      <c r="D290" s="5" t="s">
        <v>1828</v>
      </c>
      <c r="E290" s="4"/>
      <c r="F290" t="s">
        <v>1829</v>
      </c>
      <c r="G290" s="6" t="s">
        <v>1830</v>
      </c>
      <c r="H290" s="6" t="s">
        <v>1831</v>
      </c>
      <c r="I290" s="4"/>
      <c r="J290" s="6">
        <f>IF(I290&gt;0,PRODUCT(3080,I290),"")</f>
      </c>
    </row>
    <row r="291" spans="1:10" ht="66.4" customHeight="1">
      <c r="A291" s="4" t="s">
        <v>1832</v>
      </c>
      <c r="B291" s="4" t="s">
        <v>1833</v>
      </c>
      <c r="C291" s="4"/>
      <c r="D291" s="5" t="s">
        <v>1834</v>
      </c>
      <c r="E291" s="4" t="s">
        <v>1835</v>
      </c>
      <c r="F291" t="s">
        <v>1836</v>
      </c>
      <c r="G291" s="6" t="s">
        <v>1837</v>
      </c>
      <c r="H291" s="6" t="s">
        <v>1838</v>
      </c>
      <c r="I291" s="4"/>
      <c r="J291" s="6">
        <f>IF(I291&gt;0,PRODUCT(3000,I291),"")</f>
      </c>
    </row>
    <row r="292" spans="1:10" ht="61.6" customHeight="1">
      <c r="A292" s="4" t="s">
        <v>1839</v>
      </c>
      <c r="B292" s="4" t="s">
        <v>1840</v>
      </c>
      <c r="C292" s="4"/>
      <c r="D292" s="5" t="s">
        <v>1841</v>
      </c>
      <c r="E292" s="4"/>
      <c r="F292"/>
      <c r="G292" s="6" t="s">
        <v>1842</v>
      </c>
      <c r="H292" s="6" t="s">
        <v>1843</v>
      </c>
      <c r="I292" s="4"/>
      <c r="J292" s="6">
        <f>IF(I292&gt;0,PRODUCT(3080,I292),"")</f>
      </c>
    </row>
    <row r="293" spans="1:10" s="1" customFormat="1" customHeight="1">
      <c r="A293" s="3" t="s">
        <v>1844</v>
      </c>
      <c r="B293" s="3"/>
      <c r="C293" s="3"/>
      <c r="D293" s="3"/>
      <c r="E293" s="3"/>
      <c r="F293" s="3"/>
      <c r="G293" s="3"/>
      <c r="H293" s="3"/>
      <c r="I293" s="3"/>
      <c r="J293" s="3"/>
    </row>
    <row r="294" spans="1:10" ht="23" customHeight="1">
      <c r="A294" s="4" t="s">
        <v>1845</v>
      </c>
      <c r="B294" s="4"/>
      <c r="C294" s="4"/>
      <c r="D294" s="5" t="s">
        <v>1846</v>
      </c>
      <c r="E294" s="4"/>
      <c r="F294"/>
      <c r="G294" s="6" t="s">
        <v>1847</v>
      </c>
      <c r="H294" s="6" t="s">
        <v>1848</v>
      </c>
      <c r="I294" s="4"/>
      <c r="J294" s="6">
        <f>IF(I294&gt;0,PRODUCT(665,I294),"")</f>
      </c>
    </row>
    <row r="295" spans="1:10" ht="23" customHeight="1">
      <c r="A295" s="4"/>
      <c r="B295" s="4"/>
      <c r="C295" s="4"/>
      <c r="D295" s="7"/>
      <c r="E295" s="4"/>
      <c r="F295"/>
      <c r="G295" s="6" t="s">
        <v>1849</v>
      </c>
      <c r="H295" s="6" t="s">
        <v>1850</v>
      </c>
      <c r="I295" s="4"/>
      <c r="J295" s="6">
        <f>IF(I295&gt;0,PRODUCT(6345,I295),"")</f>
      </c>
    </row>
    <row r="296" spans="1:10" ht="23" customHeight="1">
      <c r="A296" s="4"/>
      <c r="B296" s="4"/>
      <c r="C296" s="4"/>
      <c r="D296" s="7"/>
      <c r="E296" s="4"/>
      <c r="F296"/>
      <c r="G296" s="6" t="s">
        <v>1851</v>
      </c>
      <c r="H296" s="6" t="s">
        <v>1852</v>
      </c>
      <c r="I296" s="4"/>
      <c r="J296" s="6">
        <f>IF(I296&gt;0,PRODUCT(1160,I296),"")</f>
      </c>
    </row>
    <row r="297" spans="1:10" ht="23" customHeight="1">
      <c r="A297" s="4"/>
      <c r="B297" s="4"/>
      <c r="C297" s="4"/>
      <c r="D297" s="7"/>
      <c r="E297" s="4"/>
      <c r="F297"/>
      <c r="G297" s="6" t="s">
        <v>1853</v>
      </c>
      <c r="H297" s="6" t="s">
        <v>1854</v>
      </c>
      <c r="I297" s="4"/>
      <c r="J297" s="6">
        <f>IF(I297&gt;0,PRODUCT(385,I297),"")</f>
      </c>
    </row>
    <row r="298" spans="1:10" s="1" customFormat="1" customHeight="1">
      <c r="A298" s="3" t="s">
        <v>1855</v>
      </c>
      <c r="B298" s="3"/>
      <c r="C298" s="3"/>
      <c r="D298" s="3"/>
      <c r="E298" s="3"/>
      <c r="F298" s="3"/>
      <c r="G298" s="3"/>
      <c r="H298" s="3"/>
      <c r="I298" s="3"/>
      <c r="J298" s="3"/>
    </row>
    <row r="299" spans="1:10" s="1" customFormat="1" customHeight="1">
      <c r="A299" s="3" t="s">
        <v>1856</v>
      </c>
      <c r="B299" s="3"/>
      <c r="C299" s="3"/>
      <c r="D299" s="3"/>
      <c r="E299" s="3"/>
      <c r="F299" s="3"/>
      <c r="G299" s="3"/>
      <c r="H299" s="3"/>
      <c r="I299" s="3"/>
      <c r="J299" s="3"/>
    </row>
    <row r="300" spans="1:10" ht="91" customHeight="1">
      <c r="A300" s="4" t="s">
        <v>1857</v>
      </c>
      <c r="B300" s="4" t="s">
        <v>1858</v>
      </c>
      <c r="C300" s="4"/>
      <c r="D300" s="5" t="s">
        <v>1859</v>
      </c>
      <c r="E300" s="4" t="s">
        <v>1860</v>
      </c>
      <c r="F300" t="s">
        <v>1861</v>
      </c>
      <c r="G300" s="6" t="s">
        <v>1862</v>
      </c>
      <c r="H300" s="6" t="s">
        <v>1863</v>
      </c>
      <c r="I300" s="4"/>
      <c r="J300" s="6">
        <f>IF(I300&gt;0,PRODUCT(3430,I300),"")</f>
      </c>
    </row>
    <row r="301" spans="1:10" ht="91" customHeight="1">
      <c r="A301" s="4" t="s">
        <v>1864</v>
      </c>
      <c r="B301" s="4" t="s">
        <v>1865</v>
      </c>
      <c r="C301" s="4"/>
      <c r="D301" s="5" t="s">
        <v>1866</v>
      </c>
      <c r="E301" s="4"/>
      <c r="F301"/>
      <c r="G301" s="6" t="s">
        <v>1867</v>
      </c>
      <c r="H301" s="6" t="s">
        <v>1868</v>
      </c>
      <c r="I301" s="4"/>
      <c r="J301" s="6">
        <f>IF(I301&gt;0,PRODUCT(3100,I301),"")</f>
      </c>
    </row>
    <row r="302" spans="1:10" ht="26.5" customHeight="1">
      <c r="A302" s="4" t="s">
        <v>1869</v>
      </c>
      <c r="B302" s="4" t="s">
        <v>1870</v>
      </c>
      <c r="C302" s="4"/>
      <c r="D302" s="5" t="s">
        <v>1871</v>
      </c>
      <c r="E302" s="4"/>
      <c r="F302" t="s">
        <v>1872</v>
      </c>
      <c r="G302" s="6" t="s">
        <v>1873</v>
      </c>
      <c r="H302" s="6" t="s">
        <v>1874</v>
      </c>
      <c r="I302" s="4"/>
      <c r="J302" s="6">
        <f>IF(I302&gt;0,PRODUCT(410,I302),"")</f>
      </c>
    </row>
    <row r="303" spans="1:10" ht="26.5" customHeight="1">
      <c r="A303" s="4"/>
      <c r="B303" s="4"/>
      <c r="C303" s="4"/>
      <c r="D303" s="7"/>
      <c r="E303" s="4"/>
      <c r="F303"/>
      <c r="G303" s="6" t="s">
        <v>1875</v>
      </c>
      <c r="H303" s="6" t="s">
        <v>1876</v>
      </c>
      <c r="I303" s="4"/>
      <c r="J303" s="6">
        <f>IF(I303&gt;0,PRODUCT(3235,I303),"")</f>
      </c>
    </row>
    <row r="304" spans="1:10" ht="26.5" customHeight="1">
      <c r="A304" s="4"/>
      <c r="B304" s="4"/>
      <c r="C304" s="4"/>
      <c r="D304" s="7"/>
      <c r="E304" s="4"/>
      <c r="F304"/>
      <c r="G304" s="6" t="s">
        <v>1877</v>
      </c>
      <c r="H304" s="6" t="s">
        <v>1878</v>
      </c>
      <c r="I304" s="4"/>
      <c r="J304" s="6">
        <f>IF(I304&gt;0,PRODUCT(1100,I304),"")</f>
      </c>
    </row>
    <row r="305" spans="1:10" ht="61.6" customHeight="1">
      <c r="A305" s="4" t="s">
        <v>1879</v>
      </c>
      <c r="B305" s="4" t="s">
        <v>1880</v>
      </c>
      <c r="C305" s="4"/>
      <c r="D305" s="5" t="s">
        <v>1881</v>
      </c>
      <c r="E305" s="4"/>
      <c r="F305" t="s">
        <v>1882</v>
      </c>
      <c r="G305" s="6" t="s">
        <v>1883</v>
      </c>
      <c r="H305" s="6" t="s">
        <v>1884</v>
      </c>
      <c r="I305" s="4"/>
      <c r="J305" s="6">
        <f>IF(I305&gt;0,PRODUCT(3310,I305),"")</f>
      </c>
    </row>
    <row r="306" spans="1:10" ht="68.8" customHeight="1">
      <c r="A306" s="4" t="s">
        <v>1885</v>
      </c>
      <c r="B306" s="4" t="s">
        <v>1886</v>
      </c>
      <c r="C306" s="4"/>
      <c r="D306" s="5" t="s">
        <v>1887</v>
      </c>
      <c r="E306" s="4" t="s">
        <v>1888</v>
      </c>
      <c r="F306"/>
      <c r="G306" s="6" t="s">
        <v>1889</v>
      </c>
      <c r="H306" s="6" t="s">
        <v>1890</v>
      </c>
      <c r="I306" s="4"/>
      <c r="J306" s="6">
        <f>IF(I306&gt;0,PRODUCT(3570,I306),"")</f>
      </c>
    </row>
    <row r="307" spans="1:10" ht="91" customHeight="1">
      <c r="A307" s="4" t="s">
        <v>1891</v>
      </c>
      <c r="B307" s="4" t="s">
        <v>1892</v>
      </c>
      <c r="C307" s="4"/>
      <c r="D307" s="5" t="s">
        <v>1893</v>
      </c>
      <c r="E307" s="4"/>
      <c r="F307"/>
      <c r="G307" s="6" t="s">
        <v>1894</v>
      </c>
      <c r="H307" s="6" t="s">
        <v>1895</v>
      </c>
      <c r="I307" s="4"/>
      <c r="J307" s="6">
        <f>IF(I307&gt;0,PRODUCT(3410,I307),"")</f>
      </c>
    </row>
    <row r="308" spans="1:10" ht="86.8" customHeight="1">
      <c r="A308" s="4" t="s">
        <v>1896</v>
      </c>
      <c r="B308" s="4" t="s">
        <v>1897</v>
      </c>
      <c r="C308" s="4"/>
      <c r="D308" s="5" t="s">
        <v>1898</v>
      </c>
      <c r="E308" s="4"/>
      <c r="F308"/>
      <c r="G308" s="6" t="s">
        <v>1899</v>
      </c>
      <c r="H308" s="6" t="s">
        <v>1900</v>
      </c>
      <c r="I308" s="4"/>
      <c r="J308" s="6">
        <f>IF(I308&gt;0,PRODUCT(3125,I308),"")</f>
      </c>
    </row>
    <row r="309" spans="1:10" s="1" customFormat="1" customHeight="1">
      <c r="A309" s="3" t="s">
        <v>1901</v>
      </c>
      <c r="B309" s="3"/>
      <c r="C309" s="3"/>
      <c r="D309" s="3"/>
      <c r="E309" s="3"/>
      <c r="F309" s="3"/>
      <c r="G309" s="3"/>
      <c r="H309" s="3"/>
      <c r="I309" s="3"/>
      <c r="J309" s="3"/>
    </row>
    <row r="310" spans="1:10" ht="30.5" customHeight="1">
      <c r="A310" s="4" t="s">
        <v>1902</v>
      </c>
      <c r="B310" s="4" t="s">
        <v>1903</v>
      </c>
      <c r="C310" s="4"/>
      <c r="D310" s="5" t="s">
        <v>1904</v>
      </c>
      <c r="E310" s="4"/>
      <c r="F310"/>
      <c r="G310" s="6" t="s">
        <v>1905</v>
      </c>
      <c r="H310" s="6" t="s">
        <v>1906</v>
      </c>
      <c r="I310" s="4"/>
      <c r="J310" s="6">
        <f>IF(I310&gt;0,PRODUCT(360,I310),"")</f>
      </c>
    </row>
    <row r="311" spans="1:10" ht="30.5" customHeight="1">
      <c r="A311" s="4"/>
      <c r="B311" s="4"/>
      <c r="C311" s="4"/>
      <c r="D311" s="7"/>
      <c r="E311" s="4"/>
      <c r="F311"/>
      <c r="G311" s="6" t="s">
        <v>1907</v>
      </c>
      <c r="H311" s="6" t="s">
        <v>1908</v>
      </c>
      <c r="I311" s="4"/>
      <c r="J311" s="6">
        <f>IF(I311&gt;0,PRODUCT(3970,I311),"")</f>
      </c>
    </row>
    <row r="312" spans="1:10" ht="30.5" customHeight="1">
      <c r="A312" s="4"/>
      <c r="B312" s="4"/>
      <c r="C312" s="4"/>
      <c r="D312" s="7"/>
      <c r="E312" s="4"/>
      <c r="F312"/>
      <c r="G312" s="6" t="s">
        <v>1909</v>
      </c>
      <c r="H312" s="6" t="s">
        <v>1910</v>
      </c>
      <c r="I312" s="4"/>
      <c r="J312" s="6">
        <f>IF(I312&gt;0,PRODUCT(1075,I312),"")</f>
      </c>
    </row>
    <row r="313" spans="1:10" ht="23" customHeight="1">
      <c r="A313" s="4" t="s">
        <v>1911</v>
      </c>
      <c r="B313" s="4"/>
      <c r="C313" s="4"/>
      <c r="D313" s="5" t="s">
        <v>1912</v>
      </c>
      <c r="E313" s="4"/>
      <c r="F313" t="s">
        <v>1913</v>
      </c>
      <c r="G313" s="6" t="s">
        <v>1914</v>
      </c>
      <c r="H313" s="6"/>
      <c r="I313" s="4"/>
      <c r="J313" s="6"/>
    </row>
    <row r="314" spans="1:10" ht="23" customHeight="1">
      <c r="A314" s="4"/>
      <c r="B314" s="4"/>
      <c r="C314" s="4"/>
      <c r="D314" s="7"/>
      <c r="E314" s="4"/>
      <c r="F314"/>
      <c r="G314" s="6" t="s">
        <v>1915</v>
      </c>
      <c r="H314" s="6"/>
      <c r="I314" s="4"/>
      <c r="J314" s="6"/>
    </row>
    <row r="315" spans="1:10" ht="23" customHeight="1">
      <c r="A315" s="4"/>
      <c r="B315" s="4"/>
      <c r="C315" s="4"/>
      <c r="D315" s="7"/>
      <c r="E315" s="4"/>
      <c r="F315"/>
      <c r="G315" s="6" t="s">
        <v>1916</v>
      </c>
      <c r="H315" s="6"/>
      <c r="I315" s="4"/>
      <c r="J315" s="6"/>
    </row>
    <row r="316" spans="1:10" ht="23" customHeight="1">
      <c r="A316" s="4"/>
      <c r="B316" s="4"/>
      <c r="C316" s="4"/>
      <c r="D316" s="7"/>
      <c r="E316" s="4"/>
      <c r="F316"/>
      <c r="G316" s="6" t="s">
        <v>1917</v>
      </c>
      <c r="H316" s="6"/>
      <c r="I316" s="4"/>
      <c r="J316" s="6"/>
    </row>
    <row r="317" spans="1:10" s="1" customFormat="1" customHeight="1">
      <c r="A317" s="3" t="s">
        <v>1918</v>
      </c>
      <c r="B317" s="3"/>
      <c r="C317" s="3"/>
      <c r="D317" s="3"/>
      <c r="E317" s="3"/>
      <c r="F317" s="3"/>
      <c r="G317" s="3"/>
      <c r="H317" s="3"/>
      <c r="I317" s="3"/>
      <c r="J317" s="3"/>
    </row>
    <row r="318" spans="1:10" s="1" customFormat="1" customHeight="1">
      <c r="A318" s="3" t="s">
        <v>1919</v>
      </c>
      <c r="B318" s="3"/>
      <c r="C318" s="3"/>
      <c r="D318" s="3"/>
      <c r="E318" s="3"/>
      <c r="F318" s="3"/>
      <c r="G318" s="3"/>
      <c r="H318" s="3"/>
      <c r="I318" s="3"/>
      <c r="J318" s="3"/>
    </row>
    <row r="319" spans="1:10" ht="23" customHeight="1">
      <c r="A319" s="4" t="s">
        <v>1920</v>
      </c>
      <c r="B319" s="4" t="s">
        <v>1921</v>
      </c>
      <c r="C319" s="4"/>
      <c r="D319" s="5" t="s">
        <v>1922</v>
      </c>
      <c r="E319" s="4" t="s">
        <v>1923</v>
      </c>
      <c r="F319" t="s">
        <v>1924</v>
      </c>
      <c r="G319" s="6" t="s">
        <v>1925</v>
      </c>
      <c r="H319" s="6" t="s">
        <v>1926</v>
      </c>
      <c r="I319" s="4"/>
      <c r="J319" s="6">
        <f>IF(I319&gt;0,PRODUCT(8380,I319),"")</f>
      </c>
    </row>
    <row r="320" spans="1:10" ht="23" customHeight="1">
      <c r="A320" s="4"/>
      <c r="B320" s="4"/>
      <c r="C320" s="4"/>
      <c r="D320" s="7"/>
      <c r="E320" s="4"/>
      <c r="F320"/>
      <c r="G320" s="6" t="s">
        <v>1927</v>
      </c>
      <c r="H320" s="6" t="s">
        <v>1928</v>
      </c>
      <c r="I320" s="4"/>
      <c r="J320" s="6">
        <f>IF(I320&gt;0,PRODUCT(820,I320),"")</f>
      </c>
    </row>
    <row r="321" spans="1:10" ht="23" customHeight="1">
      <c r="A321" s="4"/>
      <c r="B321" s="4"/>
      <c r="C321" s="4"/>
      <c r="D321" s="7"/>
      <c r="E321" s="4"/>
      <c r="F321"/>
      <c r="G321" s="6" t="s">
        <v>1929</v>
      </c>
      <c r="H321" s="6" t="s">
        <v>1930</v>
      </c>
      <c r="I321" s="4"/>
      <c r="J321" s="6">
        <f>IF(I321&gt;0,PRODUCT(310,I321),"")</f>
      </c>
    </row>
    <row r="322" spans="1:10" ht="23" customHeight="1">
      <c r="A322" s="4"/>
      <c r="B322" s="4"/>
      <c r="C322" s="4"/>
      <c r="D322" s="7"/>
      <c r="E322" s="4"/>
      <c r="F322"/>
      <c r="G322" s="6" t="s">
        <v>1931</v>
      </c>
      <c r="H322" s="6" t="s">
        <v>1932</v>
      </c>
      <c r="I322" s="4"/>
      <c r="J322" s="6">
        <f>IF(I322&gt;0,PRODUCT(505,I322),"")</f>
      </c>
    </row>
    <row r="323" spans="1:10" s="1" customFormat="1" customHeight="1">
      <c r="A323" s="3" t="s">
        <v>1933</v>
      </c>
      <c r="B323" s="3"/>
      <c r="C323" s="3"/>
      <c r="D323" s="3"/>
      <c r="E323" s="3"/>
      <c r="F323" s="3"/>
      <c r="G323" s="3"/>
      <c r="H323" s="3"/>
      <c r="I323" s="3"/>
      <c r="J323" s="3"/>
    </row>
    <row r="324" spans="1:10" ht="30.5" customHeight="1">
      <c r="A324" s="4" t="s">
        <v>1934</v>
      </c>
      <c r="B324" s="4" t="s">
        <v>1935</v>
      </c>
      <c r="C324" s="4"/>
      <c r="D324" s="5" t="s">
        <v>1936</v>
      </c>
      <c r="E324" s="4" t="s">
        <v>1937</v>
      </c>
      <c r="F324" t="s">
        <v>1938</v>
      </c>
      <c r="G324" s="6" t="s">
        <v>1939</v>
      </c>
      <c r="H324" s="6" t="s">
        <v>1940</v>
      </c>
      <c r="I324" s="4"/>
      <c r="J324" s="6">
        <f>IF(I324&gt;0,PRODUCT(400,I324),"")</f>
      </c>
    </row>
    <row r="325" spans="1:10" ht="30.5" customHeight="1">
      <c r="A325" s="4"/>
      <c r="B325" s="4"/>
      <c r="C325" s="4"/>
      <c r="D325" s="7"/>
      <c r="E325" s="4"/>
      <c r="F325"/>
      <c r="G325" s="6" t="s">
        <v>1941</v>
      </c>
      <c r="H325" s="6" t="s">
        <v>1942</v>
      </c>
      <c r="I325" s="4"/>
      <c r="J325" s="6">
        <f>IF(I325&gt;0,PRODUCT(870,I325),"")</f>
      </c>
    </row>
    <row r="326" spans="1:10" ht="30.5" customHeight="1">
      <c r="A326" s="4"/>
      <c r="B326" s="4"/>
      <c r="C326" s="4"/>
      <c r="D326" s="7"/>
      <c r="E326" s="4"/>
      <c r="F326"/>
      <c r="G326" s="6" t="s">
        <v>1943</v>
      </c>
      <c r="H326" s="6" t="s">
        <v>1944</v>
      </c>
      <c r="I326" s="4"/>
      <c r="J326" s="6">
        <f>IF(I326&gt;0,PRODUCT(8050,I326),"")</f>
      </c>
    </row>
    <row r="327" spans="1:10" s="1" customFormat="1" customHeight="1">
      <c r="A327" s="3" t="s">
        <v>1945</v>
      </c>
      <c r="B327" s="3"/>
      <c r="C327" s="3"/>
      <c r="D327" s="3"/>
      <c r="E327" s="3"/>
      <c r="F327" s="3"/>
      <c r="G327" s="3"/>
      <c r="H327" s="3"/>
      <c r="I327" s="3"/>
      <c r="J327" s="3"/>
    </row>
    <row r="328" spans="1:10" s="1" customFormat="1" customHeight="1">
      <c r="A328" s="3" t="s">
        <v>1946</v>
      </c>
      <c r="B328" s="3"/>
      <c r="C328" s="3"/>
      <c r="D328" s="3"/>
      <c r="E328" s="3"/>
      <c r="F328" s="3"/>
      <c r="G328" s="3"/>
      <c r="H328" s="3"/>
      <c r="I328" s="3"/>
      <c r="J328" s="3"/>
    </row>
    <row r="329" spans="1:10" s="1" customFormat="1" customHeight="1">
      <c r="A329" s="3" t="s">
        <v>1947</v>
      </c>
      <c r="B329" s="3"/>
      <c r="C329" s="3"/>
      <c r="D329" s="3"/>
      <c r="E329" s="3"/>
      <c r="F329" s="3"/>
      <c r="G329" s="3"/>
      <c r="H329" s="3"/>
      <c r="I329" s="3"/>
      <c r="J329" s="3"/>
    </row>
    <row r="330" spans="1:10" ht="91" customHeight="1">
      <c r="A330" s="4" t="s">
        <v>1948</v>
      </c>
      <c r="B330" s="4" t="s">
        <v>1949</v>
      </c>
      <c r="C330" s="4"/>
      <c r="D330" s="5" t="s">
        <v>1950</v>
      </c>
      <c r="E330" s="4"/>
      <c r="F330"/>
      <c r="G330" s="6" t="s">
        <v>1951</v>
      </c>
      <c r="H330" s="6" t="s">
        <v>1952</v>
      </c>
      <c r="I330" s="4"/>
      <c r="J330" s="6">
        <f>IF(I330&gt;0,PRODUCT(890,I330),"")</f>
      </c>
    </row>
    <row r="331" spans="1:10" ht="91" customHeight="1">
      <c r="A331" s="4" t="s">
        <v>1953</v>
      </c>
      <c r="B331" s="4" t="s">
        <v>1954</v>
      </c>
      <c r="C331" s="4"/>
      <c r="D331" s="5" t="s">
        <v>1955</v>
      </c>
      <c r="E331" s="4"/>
      <c r="F331"/>
      <c r="G331" s="6" t="s">
        <v>1956</v>
      </c>
      <c r="H331" s="6" t="s">
        <v>1957</v>
      </c>
      <c r="I331" s="4"/>
      <c r="J331" s="6">
        <f>IF(I331&gt;0,PRODUCT(770,I331),"")</f>
      </c>
    </row>
    <row r="332" spans="1:10" ht="91" customHeight="1">
      <c r="A332" s="4" t="s">
        <v>1958</v>
      </c>
      <c r="B332" s="4" t="s">
        <v>1959</v>
      </c>
      <c r="C332" s="4"/>
      <c r="D332" s="5" t="s">
        <v>1960</v>
      </c>
      <c r="E332" s="4"/>
      <c r="F332"/>
      <c r="G332" s="6" t="s">
        <v>1961</v>
      </c>
      <c r="H332" s="6" t="s">
        <v>1962</v>
      </c>
      <c r="I332" s="4"/>
      <c r="J332" s="6">
        <f>IF(I332&gt;0,PRODUCT(1150,I332),"")</f>
      </c>
    </row>
    <row r="333" spans="1:10" ht="91" customHeight="1">
      <c r="A333" s="4" t="s">
        <v>1963</v>
      </c>
      <c r="B333" s="4" t="s">
        <v>1964</v>
      </c>
      <c r="C333" s="4"/>
      <c r="D333" s="5" t="s">
        <v>1965</v>
      </c>
      <c r="E333" s="4"/>
      <c r="F333"/>
      <c r="G333" s="6" t="s">
        <v>1966</v>
      </c>
      <c r="H333" s="6" t="s">
        <v>1967</v>
      </c>
      <c r="I333" s="4"/>
      <c r="J333" s="6">
        <f>IF(I333&gt;0,PRODUCT(1180,I333),"")</f>
      </c>
    </row>
    <row r="334" spans="1:10" ht="91" customHeight="1">
      <c r="A334" s="4" t="s">
        <v>1968</v>
      </c>
      <c r="B334" s="4" t="s">
        <v>1969</v>
      </c>
      <c r="C334" s="4"/>
      <c r="D334" s="5" t="s">
        <v>1970</v>
      </c>
      <c r="E334" s="4"/>
      <c r="F334"/>
      <c r="G334" s="6" t="s">
        <v>1971</v>
      </c>
      <c r="H334" s="6" t="s">
        <v>1972</v>
      </c>
      <c r="I334" s="4"/>
      <c r="J334" s="6">
        <f>IF(I334&gt;0,PRODUCT(1200,I334),"")</f>
      </c>
    </row>
    <row r="335" spans="1:10" ht="91" customHeight="1">
      <c r="A335" s="4" t="s">
        <v>1973</v>
      </c>
      <c r="B335" s="4" t="s">
        <v>1974</v>
      </c>
      <c r="C335" s="4"/>
      <c r="D335" s="5" t="s">
        <v>1975</v>
      </c>
      <c r="E335" s="4"/>
      <c r="F335"/>
      <c r="G335" s="6" t="s">
        <v>1976</v>
      </c>
      <c r="H335" s="6" t="s">
        <v>1977</v>
      </c>
      <c r="I335" s="4"/>
      <c r="J335" s="6">
        <f>IF(I335&gt;0,PRODUCT(1780,I335),"")</f>
      </c>
    </row>
    <row r="336" spans="1:10" ht="91" customHeight="1">
      <c r="A336" s="4" t="s">
        <v>1978</v>
      </c>
      <c r="B336" s="4" t="s">
        <v>1979</v>
      </c>
      <c r="C336" s="4"/>
      <c r="D336" s="5" t="s">
        <v>1980</v>
      </c>
      <c r="E336" s="4"/>
      <c r="F336"/>
      <c r="G336" s="6" t="s">
        <v>1981</v>
      </c>
      <c r="H336" s="6" t="s">
        <v>1982</v>
      </c>
      <c r="I336" s="4"/>
      <c r="J336" s="6">
        <f>IF(I336&gt;0,PRODUCT(1090,I336),"")</f>
      </c>
    </row>
    <row r="337" spans="1:10" ht="91" customHeight="1">
      <c r="A337" s="4" t="s">
        <v>1983</v>
      </c>
      <c r="B337" s="4" t="s">
        <v>1984</v>
      </c>
      <c r="C337" s="4"/>
      <c r="D337" s="5" t="s">
        <v>1985</v>
      </c>
      <c r="E337" s="4"/>
      <c r="F337"/>
      <c r="G337" s="6" t="s">
        <v>1986</v>
      </c>
      <c r="H337" s="6" t="s">
        <v>1987</v>
      </c>
      <c r="I337" s="4"/>
      <c r="J337" s="6">
        <f>IF(I337&gt;0,PRODUCT(1180,I337),"")</f>
      </c>
    </row>
    <row r="338" spans="1:10" ht="91" customHeight="1">
      <c r="A338" s="4" t="s">
        <v>1988</v>
      </c>
      <c r="B338" s="4" t="s">
        <v>1989</v>
      </c>
      <c r="C338" s="4"/>
      <c r="D338" s="5" t="s">
        <v>1990</v>
      </c>
      <c r="E338" s="4"/>
      <c r="F338"/>
      <c r="G338" s="6" t="s">
        <v>1991</v>
      </c>
      <c r="H338" s="6" t="s">
        <v>1992</v>
      </c>
      <c r="I338" s="4"/>
      <c r="J338" s="6">
        <f>IF(I338&gt;0,PRODUCT(1150,I338),"")</f>
      </c>
    </row>
    <row r="339" spans="1:10" s="1" customFormat="1" customHeight="1">
      <c r="A339" s="3" t="s">
        <v>1993</v>
      </c>
      <c r="B339" s="3"/>
      <c r="C339" s="3"/>
      <c r="D339" s="3"/>
      <c r="E339" s="3"/>
      <c r="F339" s="3"/>
      <c r="G339" s="3"/>
      <c r="H339" s="3"/>
      <c r="I339" s="3"/>
      <c r="J339" s="3"/>
    </row>
    <row r="340" spans="1:10" ht="91" customHeight="1">
      <c r="A340" s="4" t="s">
        <v>1994</v>
      </c>
      <c r="B340" s="4" t="s">
        <v>1995</v>
      </c>
      <c r="C340" s="4"/>
      <c r="D340" s="5" t="s">
        <v>1996</v>
      </c>
      <c r="E340" s="4" t="s">
        <v>1997</v>
      </c>
      <c r="F340"/>
      <c r="G340" s="6" t="s">
        <v>1998</v>
      </c>
      <c r="H340" s="6" t="s">
        <v>1999</v>
      </c>
      <c r="I340" s="4"/>
      <c r="J340" s="6">
        <f>IF(I340&gt;0,PRODUCT(905,I340),"")</f>
      </c>
    </row>
    <row r="341" spans="1:10" s="1" customFormat="1" customHeight="1">
      <c r="A341" s="3" t="s">
        <v>2000</v>
      </c>
      <c r="B341" s="3"/>
      <c r="C341" s="3"/>
      <c r="D341" s="3"/>
      <c r="E341" s="3"/>
      <c r="F341" s="3"/>
      <c r="G341" s="3"/>
      <c r="H341" s="3"/>
      <c r="I341" s="3"/>
      <c r="J341" s="3"/>
    </row>
    <row r="342" spans="1:10" ht="91" customHeight="1">
      <c r="A342" s="4" t="s">
        <v>2001</v>
      </c>
      <c r="B342" s="4" t="s">
        <v>2002</v>
      </c>
      <c r="C342" s="4"/>
      <c r="D342" s="5" t="s">
        <v>2003</v>
      </c>
      <c r="E342" s="4"/>
      <c r="F342"/>
      <c r="G342" s="6" t="s">
        <v>2004</v>
      </c>
      <c r="H342" s="6" t="s">
        <v>2005</v>
      </c>
      <c r="I342" s="4"/>
      <c r="J342" s="6">
        <f>IF(I342&gt;0,PRODUCT(1140,I342),"")</f>
      </c>
    </row>
    <row r="343" spans="1:10" ht="23" customHeight="1">
      <c r="A343" s="4" t="s">
        <v>2006</v>
      </c>
      <c r="B343" s="4" t="s">
        <v>2007</v>
      </c>
      <c r="C343" s="4"/>
      <c r="D343" s="5" t="s">
        <v>2008</v>
      </c>
      <c r="E343" s="4" t="s">
        <v>2009</v>
      </c>
      <c r="F343" t="s">
        <v>2010</v>
      </c>
      <c r="G343" s="6" t="s">
        <v>2011</v>
      </c>
      <c r="H343" s="6" t="s">
        <v>2012</v>
      </c>
      <c r="I343" s="4"/>
      <c r="J343" s="6">
        <f>IF(I343&gt;0,PRODUCT(685,I343),"")</f>
      </c>
    </row>
    <row r="344" spans="1:10" ht="23" customHeight="1">
      <c r="A344" s="4"/>
      <c r="B344" s="4"/>
      <c r="C344" s="4"/>
      <c r="D344" s="7"/>
      <c r="E344" s="4"/>
      <c r="F344"/>
      <c r="G344" s="6" t="s">
        <v>2013</v>
      </c>
      <c r="H344" s="6" t="s">
        <v>2014</v>
      </c>
      <c r="I344" s="4"/>
      <c r="J344" s="6">
        <f>IF(I344&gt;0,PRODUCT(5985,I344),"")</f>
      </c>
    </row>
    <row r="345" spans="1:10" ht="23" customHeight="1">
      <c r="A345" s="4"/>
      <c r="B345" s="4"/>
      <c r="C345" s="4"/>
      <c r="D345" s="7"/>
      <c r="E345" s="4"/>
      <c r="F345"/>
      <c r="G345" s="6" t="s">
        <v>2015</v>
      </c>
      <c r="H345" s="6" t="s">
        <v>2016</v>
      </c>
      <c r="I345" s="4"/>
      <c r="J345" s="6">
        <f>IF(I345&gt;0,PRODUCT(2055,I345),"")</f>
      </c>
    </row>
    <row r="346" spans="1:10" ht="23" customHeight="1">
      <c r="A346" s="4"/>
      <c r="B346" s="4"/>
      <c r="C346" s="4"/>
      <c r="D346" s="7"/>
      <c r="E346" s="4"/>
      <c r="F346"/>
      <c r="G346" s="6" t="s">
        <v>2017</v>
      </c>
      <c r="H346" s="6" t="s">
        <v>2018</v>
      </c>
      <c r="I346" s="4"/>
      <c r="J346" s="6">
        <f>IF(I346&gt;0,PRODUCT(255,I346),"")</f>
      </c>
    </row>
    <row r="347" spans="1:10" s="1" customFormat="1" customHeight="1">
      <c r="A347" s="3" t="s">
        <v>2019</v>
      </c>
      <c r="B347" s="3"/>
      <c r="C347" s="3"/>
      <c r="D347" s="3"/>
      <c r="E347" s="3"/>
      <c r="F347" s="3"/>
      <c r="G347" s="3"/>
      <c r="H347" s="3"/>
      <c r="I347" s="3"/>
      <c r="J347" s="3"/>
    </row>
    <row r="348" spans="1:10" ht="23" customHeight="1">
      <c r="A348" s="4" t="s">
        <v>2020</v>
      </c>
      <c r="B348" s="4" t="s">
        <v>2021</v>
      </c>
      <c r="C348" s="4"/>
      <c r="D348" s="5" t="s">
        <v>2022</v>
      </c>
      <c r="E348" s="4"/>
      <c r="F348"/>
      <c r="G348" s="6" t="s">
        <v>2023</v>
      </c>
      <c r="H348" s="6" t="s">
        <v>2024</v>
      </c>
      <c r="I348" s="4"/>
      <c r="J348" s="6">
        <f>IF(I348&gt;0,PRODUCT(1795,I348),"")</f>
      </c>
    </row>
    <row r="349" spans="1:10" ht="23" customHeight="1">
      <c r="A349" s="4"/>
      <c r="B349" s="4"/>
      <c r="C349" s="4"/>
      <c r="D349" s="7"/>
      <c r="E349" s="4"/>
      <c r="F349"/>
      <c r="G349" s="6" t="s">
        <v>2025</v>
      </c>
      <c r="H349" s="6" t="s">
        <v>2026</v>
      </c>
      <c r="I349" s="4"/>
      <c r="J349" s="6">
        <f>IF(I349&gt;0,PRODUCT(460,I349),"")</f>
      </c>
    </row>
    <row r="350" spans="1:10" ht="23" customHeight="1">
      <c r="A350" s="4"/>
      <c r="B350" s="4"/>
      <c r="C350" s="4"/>
      <c r="D350" s="7"/>
      <c r="E350" s="4"/>
      <c r="F350"/>
      <c r="G350" s="6" t="s">
        <v>2027</v>
      </c>
      <c r="H350" s="6" t="s">
        <v>2028</v>
      </c>
      <c r="I350" s="4"/>
      <c r="J350" s="6">
        <f>IF(I350&gt;0,PRODUCT(6845,I350),"")</f>
      </c>
    </row>
    <row r="351" spans="1:10" ht="23" customHeight="1">
      <c r="A351" s="4"/>
      <c r="B351" s="4"/>
      <c r="C351" s="4"/>
      <c r="D351" s="7"/>
      <c r="E351" s="4"/>
      <c r="F351"/>
      <c r="G351" s="6" t="s">
        <v>2029</v>
      </c>
      <c r="H351" s="6" t="s">
        <v>2030</v>
      </c>
      <c r="I351" s="4"/>
      <c r="J351" s="6">
        <f>IF(I351&gt;0,PRODUCT(995,I351),"")</f>
      </c>
    </row>
    <row r="352" spans="1:10" ht="30.5" customHeight="1">
      <c r="A352" s="4" t="s">
        <v>2031</v>
      </c>
      <c r="B352" s="4" t="s">
        <v>2032</v>
      </c>
      <c r="C352" s="4"/>
      <c r="D352" s="5" t="s">
        <v>2033</v>
      </c>
      <c r="E352" s="4"/>
      <c r="F352"/>
      <c r="G352" s="6" t="s">
        <v>2034</v>
      </c>
      <c r="H352" s="6" t="s">
        <v>2035</v>
      </c>
      <c r="I352" s="4"/>
      <c r="J352" s="6">
        <f>IF(I352&gt;0,PRODUCT(1952,I352),"")</f>
      </c>
    </row>
    <row r="353" spans="1:10" ht="30.5" customHeight="1">
      <c r="A353" s="4"/>
      <c r="B353" s="4"/>
      <c r="C353" s="4"/>
      <c r="D353" s="7"/>
      <c r="E353" s="4"/>
      <c r="F353"/>
      <c r="G353" s="6" t="s">
        <v>2036</v>
      </c>
      <c r="H353" s="6" t="s">
        <v>2037</v>
      </c>
      <c r="I353" s="4"/>
      <c r="J353" s="6">
        <f>IF(I353&gt;0,PRODUCT(699,I353),"")</f>
      </c>
    </row>
    <row r="354" spans="1:10" ht="30.5" customHeight="1">
      <c r="A354" s="4"/>
      <c r="B354" s="4"/>
      <c r="C354" s="4"/>
      <c r="D354" s="7"/>
      <c r="E354" s="4"/>
      <c r="F354"/>
      <c r="G354" s="6" t="s">
        <v>2038</v>
      </c>
      <c r="H354" s="6" t="s">
        <v>2039</v>
      </c>
      <c r="I354" s="4"/>
      <c r="J354" s="6">
        <f>IF(I354&gt;0,PRODUCT(4725,I354),"")</f>
      </c>
    </row>
    <row r="355" spans="1:10" s="10" customFormat="1" customHeight="1">
      <c r="A355" s="11">
        <f>CONCATENATE("Общая сумма: ",SUM(J2:J256)," руб.")</f>
      </c>
      <c r="B355" s="11"/>
      <c r="C355" s="11"/>
      <c r="D355" s="11"/>
      <c r="E355" s="11"/>
      <c r="F355" s="11"/>
      <c r="G355" s="11"/>
      <c r="H355" s="11"/>
      <c r="I355" s="11"/>
      <c r="J355" s="11"/>
    </row>
  </sheetData>
  <sheetProtection formatCells="0" formatColumns="0" formatRows="0" insertColumns="0" insertRows="0" insertHyperlinks="0" deleteColumns="0" deleteRows="0" sort="0" autoFilter="0" pivotTables="0"/>
  <mergeCells count="281">
    <mergeCell ref="A2:J2"/>
    <mergeCell ref="A3:J3"/>
    <mergeCell ref="A4:J4"/>
    <mergeCell ref="A6:J6"/>
    <mergeCell ref="A7:A12"/>
    <mergeCell ref="B7:B12"/>
    <mergeCell ref="C7:C12"/>
    <mergeCell ref="D7:D12"/>
    <mergeCell ref="E7:E12"/>
    <mergeCell ref="F7:F12"/>
    <mergeCell ref="A13:J13"/>
    <mergeCell ref="A14:A17"/>
    <mergeCell ref="B14:B17"/>
    <mergeCell ref="C14:C17"/>
    <mergeCell ref="D14:D17"/>
    <mergeCell ref="E14:E17"/>
    <mergeCell ref="F14:F17"/>
    <mergeCell ref="A18:A21"/>
    <mergeCell ref="B18:B21"/>
    <mergeCell ref="C18:C21"/>
    <mergeCell ref="D18:D21"/>
    <mergeCell ref="E18:E21"/>
    <mergeCell ref="F18:F21"/>
    <mergeCell ref="A22:A25"/>
    <mergeCell ref="B22:B25"/>
    <mergeCell ref="C22:C25"/>
    <mergeCell ref="D22:D25"/>
    <mergeCell ref="E22:E25"/>
    <mergeCell ref="F22:F25"/>
    <mergeCell ref="A27:J27"/>
    <mergeCell ref="A28:J28"/>
    <mergeCell ref="A40:J40"/>
    <mergeCell ref="A41:A43"/>
    <mergeCell ref="B41:B43"/>
    <mergeCell ref="C41:C43"/>
    <mergeCell ref="D41:D43"/>
    <mergeCell ref="E41:E43"/>
    <mergeCell ref="F41:F43"/>
    <mergeCell ref="A44:J44"/>
    <mergeCell ref="A45:A47"/>
    <mergeCell ref="B45:B47"/>
    <mergeCell ref="C45:C47"/>
    <mergeCell ref="D45:D47"/>
    <mergeCell ref="E45:E47"/>
    <mergeCell ref="F45:F47"/>
    <mergeCell ref="A48:A50"/>
    <mergeCell ref="B48:B50"/>
    <mergeCell ref="C48:C50"/>
    <mergeCell ref="D48:D50"/>
    <mergeCell ref="E48:E50"/>
    <mergeCell ref="F48:F50"/>
    <mergeCell ref="A51:J51"/>
    <mergeCell ref="A52:A53"/>
    <mergeCell ref="B52:B53"/>
    <mergeCell ref="C52:C53"/>
    <mergeCell ref="D52:D53"/>
    <mergeCell ref="E52:E53"/>
    <mergeCell ref="F52:F53"/>
    <mergeCell ref="A54:J54"/>
    <mergeCell ref="A55:A60"/>
    <mergeCell ref="B55:B60"/>
    <mergeCell ref="C55:C60"/>
    <mergeCell ref="D55:D60"/>
    <mergeCell ref="E55:E60"/>
    <mergeCell ref="F55:F60"/>
    <mergeCell ref="A61:J61"/>
    <mergeCell ref="A62:A67"/>
    <mergeCell ref="B62:B67"/>
    <mergeCell ref="C62:C67"/>
    <mergeCell ref="D62:D67"/>
    <mergeCell ref="E62:E67"/>
    <mergeCell ref="F62:F67"/>
    <mergeCell ref="A68:J68"/>
    <mergeCell ref="A69:A72"/>
    <mergeCell ref="B69:B72"/>
    <mergeCell ref="C69:C72"/>
    <mergeCell ref="D69:D72"/>
    <mergeCell ref="E69:E72"/>
    <mergeCell ref="F69:F72"/>
    <mergeCell ref="A73:J73"/>
    <mergeCell ref="A74:A80"/>
    <mergeCell ref="B74:B80"/>
    <mergeCell ref="C74:C80"/>
    <mergeCell ref="D74:D80"/>
    <mergeCell ref="E74:E80"/>
    <mergeCell ref="F74:F80"/>
    <mergeCell ref="A81:A87"/>
    <mergeCell ref="B81:B87"/>
    <mergeCell ref="C81:C87"/>
    <mergeCell ref="D81:D87"/>
    <mergeCell ref="E81:E87"/>
    <mergeCell ref="F81:F87"/>
    <mergeCell ref="A88:J88"/>
    <mergeCell ref="A89:J89"/>
    <mergeCell ref="A90:A92"/>
    <mergeCell ref="B90:B92"/>
    <mergeCell ref="C90:C92"/>
    <mergeCell ref="D90:D92"/>
    <mergeCell ref="E90:E92"/>
    <mergeCell ref="F90:F92"/>
    <mergeCell ref="A93:A95"/>
    <mergeCell ref="B93:B95"/>
    <mergeCell ref="C93:C95"/>
    <mergeCell ref="D93:D95"/>
    <mergeCell ref="E93:E95"/>
    <mergeCell ref="F93:F95"/>
    <mergeCell ref="A96:A98"/>
    <mergeCell ref="B96:B98"/>
    <mergeCell ref="C96:C98"/>
    <mergeCell ref="D96:D98"/>
    <mergeCell ref="E96:E98"/>
    <mergeCell ref="F96:F98"/>
    <mergeCell ref="A99:J99"/>
    <mergeCell ref="A101:J101"/>
    <mergeCell ref="A102:A104"/>
    <mergeCell ref="B102:B104"/>
    <mergeCell ref="C102:C104"/>
    <mergeCell ref="D102:D104"/>
    <mergeCell ref="E102:E104"/>
    <mergeCell ref="F102:F104"/>
    <mergeCell ref="A105:A107"/>
    <mergeCell ref="B105:B107"/>
    <mergeCell ref="C105:C107"/>
    <mergeCell ref="D105:D107"/>
    <mergeCell ref="E105:E107"/>
    <mergeCell ref="F105:F107"/>
    <mergeCell ref="A108:A110"/>
    <mergeCell ref="B108:B110"/>
    <mergeCell ref="C108:C110"/>
    <mergeCell ref="D108:D110"/>
    <mergeCell ref="E108:E110"/>
    <mergeCell ref="F108:F110"/>
    <mergeCell ref="A111:J111"/>
    <mergeCell ref="A112:A113"/>
    <mergeCell ref="B112:B113"/>
    <mergeCell ref="C112:C113"/>
    <mergeCell ref="D112:D113"/>
    <mergeCell ref="E112:E113"/>
    <mergeCell ref="F112:F113"/>
    <mergeCell ref="A114:A115"/>
    <mergeCell ref="B114:B115"/>
    <mergeCell ref="C114:C115"/>
    <mergeCell ref="D114:D115"/>
    <mergeCell ref="E114:E115"/>
    <mergeCell ref="F114:F115"/>
    <mergeCell ref="A116:J116"/>
    <mergeCell ref="A117:A120"/>
    <mergeCell ref="B117:B120"/>
    <mergeCell ref="C117:C120"/>
    <mergeCell ref="D117:D120"/>
    <mergeCell ref="E117:E120"/>
    <mergeCell ref="F117:F120"/>
    <mergeCell ref="A121:J121"/>
    <mergeCell ref="A122:J122"/>
    <mergeCell ref="A123:A124"/>
    <mergeCell ref="B123:B124"/>
    <mergeCell ref="C123:C124"/>
    <mergeCell ref="D123:D124"/>
    <mergeCell ref="E123:E124"/>
    <mergeCell ref="F123:F124"/>
    <mergeCell ref="A125:J125"/>
    <mergeCell ref="A126:A128"/>
    <mergeCell ref="B126:B128"/>
    <mergeCell ref="C126:C128"/>
    <mergeCell ref="D126:D128"/>
    <mergeCell ref="E126:E128"/>
    <mergeCell ref="F126:F128"/>
    <mergeCell ref="A129:J129"/>
    <mergeCell ref="A131:J131"/>
    <mergeCell ref="A132:J132"/>
    <mergeCell ref="A133:J133"/>
    <mergeCell ref="A134:J134"/>
    <mergeCell ref="A138:A140"/>
    <mergeCell ref="B138:B140"/>
    <mergeCell ref="C138:C140"/>
    <mergeCell ref="D138:D140"/>
    <mergeCell ref="E138:E140"/>
    <mergeCell ref="F138:F140"/>
    <mergeCell ref="A141:J141"/>
    <mergeCell ref="A143:J143"/>
    <mergeCell ref="A160:J160"/>
    <mergeCell ref="A161:J161"/>
    <mergeCell ref="A162:A164"/>
    <mergeCell ref="B162:B164"/>
    <mergeCell ref="C162:C164"/>
    <mergeCell ref="D162:D164"/>
    <mergeCell ref="E162:E164"/>
    <mergeCell ref="F162:F164"/>
    <mergeCell ref="A165:J165"/>
    <mergeCell ref="A170:A172"/>
    <mergeCell ref="B170:B172"/>
    <mergeCell ref="C170:C172"/>
    <mergeCell ref="D170:D172"/>
    <mergeCell ref="E170:E172"/>
    <mergeCell ref="F170:F172"/>
    <mergeCell ref="A174:A177"/>
    <mergeCell ref="B174:B177"/>
    <mergeCell ref="C174:C177"/>
    <mergeCell ref="D174:D177"/>
    <mergeCell ref="E174:E177"/>
    <mergeCell ref="F174:F177"/>
    <mergeCell ref="A178:J178"/>
    <mergeCell ref="A179:J179"/>
    <mergeCell ref="A184:J184"/>
    <mergeCell ref="A185:J185"/>
    <mergeCell ref="A186:J186"/>
    <mergeCell ref="A209:J209"/>
    <mergeCell ref="A210:J210"/>
    <mergeCell ref="A219:J219"/>
    <mergeCell ref="A220:J220"/>
    <mergeCell ref="A221:J221"/>
    <mergeCell ref="A241:J241"/>
    <mergeCell ref="A242:J242"/>
    <mergeCell ref="A293:J293"/>
    <mergeCell ref="A294:A297"/>
    <mergeCell ref="B294:B297"/>
    <mergeCell ref="C294:C297"/>
    <mergeCell ref="D294:D297"/>
    <mergeCell ref="E294:E297"/>
    <mergeCell ref="F294:F297"/>
    <mergeCell ref="A298:J298"/>
    <mergeCell ref="A299:J299"/>
    <mergeCell ref="A302:A304"/>
    <mergeCell ref="B302:B304"/>
    <mergeCell ref="C302:C304"/>
    <mergeCell ref="D302:D304"/>
    <mergeCell ref="E302:E304"/>
    <mergeCell ref="F302:F304"/>
    <mergeCell ref="A309:J309"/>
    <mergeCell ref="A310:A312"/>
    <mergeCell ref="B310:B312"/>
    <mergeCell ref="C310:C312"/>
    <mergeCell ref="D310:D312"/>
    <mergeCell ref="E310:E312"/>
    <mergeCell ref="F310:F312"/>
    <mergeCell ref="A313:A316"/>
    <mergeCell ref="B313:B316"/>
    <mergeCell ref="C313:C316"/>
    <mergeCell ref="D313:D316"/>
    <mergeCell ref="E313:E316"/>
    <mergeCell ref="F313:F316"/>
    <mergeCell ref="A317:J317"/>
    <mergeCell ref="A318:J318"/>
    <mergeCell ref="A319:A322"/>
    <mergeCell ref="B319:B322"/>
    <mergeCell ref="C319:C322"/>
    <mergeCell ref="D319:D322"/>
    <mergeCell ref="E319:E322"/>
    <mergeCell ref="F319:F322"/>
    <mergeCell ref="A323:J323"/>
    <mergeCell ref="A324:A326"/>
    <mergeCell ref="B324:B326"/>
    <mergeCell ref="C324:C326"/>
    <mergeCell ref="D324:D326"/>
    <mergeCell ref="E324:E326"/>
    <mergeCell ref="F324:F326"/>
    <mergeCell ref="A327:J327"/>
    <mergeCell ref="A328:J328"/>
    <mergeCell ref="A329:J329"/>
    <mergeCell ref="A339:J339"/>
    <mergeCell ref="A341:J341"/>
    <mergeCell ref="A343:A346"/>
    <mergeCell ref="B343:B346"/>
    <mergeCell ref="C343:C346"/>
    <mergeCell ref="D343:D346"/>
    <mergeCell ref="E343:E346"/>
    <mergeCell ref="F343:F346"/>
    <mergeCell ref="A347:J347"/>
    <mergeCell ref="A348:A351"/>
    <mergeCell ref="B348:B351"/>
    <mergeCell ref="C348:C351"/>
    <mergeCell ref="D348:D351"/>
    <mergeCell ref="E348:E351"/>
    <mergeCell ref="F348:F351"/>
    <mergeCell ref="A352:A354"/>
    <mergeCell ref="B352:B354"/>
    <mergeCell ref="C352:C354"/>
    <mergeCell ref="D352:D354"/>
    <mergeCell ref="E352:E354"/>
    <mergeCell ref="F352:F354"/>
    <mergeCell ref="A355:J355"/>
  </mergeCells>
  <hyperlinks>
    <hyperlink ref="D5" r:id="rId2"/>
    <hyperlink ref="D7" r:id="rId3"/>
    <hyperlink ref="D14" r:id="rId4"/>
    <hyperlink ref="D18" r:id="rId5"/>
    <hyperlink ref="D22" r:id="rId6"/>
    <hyperlink ref="D26" r:id="rId7"/>
    <hyperlink ref="D29" r:id="rId8"/>
    <hyperlink ref="D30" r:id="rId9"/>
    <hyperlink ref="D31" r:id="rId10"/>
    <hyperlink ref="D32" r:id="rId11"/>
    <hyperlink ref="D33" r:id="rId12"/>
    <hyperlink ref="D34" r:id="rId13"/>
    <hyperlink ref="D35" r:id="rId14"/>
    <hyperlink ref="D36" r:id="rId15"/>
    <hyperlink ref="D37" r:id="rId16"/>
    <hyperlink ref="D38" r:id="rId17"/>
    <hyperlink ref="D39" r:id="rId18"/>
    <hyperlink ref="D41" r:id="rId19"/>
    <hyperlink ref="D45" r:id="rId20"/>
    <hyperlink ref="D48" r:id="rId21"/>
    <hyperlink ref="D52" r:id="rId22"/>
    <hyperlink ref="D55" r:id="rId23"/>
    <hyperlink ref="D62" r:id="rId24"/>
    <hyperlink ref="D69" r:id="rId25"/>
    <hyperlink ref="D74" r:id="rId26"/>
    <hyperlink ref="D81" r:id="rId27"/>
    <hyperlink ref="D90" r:id="rId28"/>
    <hyperlink ref="D93" r:id="rId29"/>
    <hyperlink ref="D96" r:id="rId30"/>
    <hyperlink ref="D100" r:id="rId31"/>
    <hyperlink ref="D102" r:id="rId32"/>
    <hyperlink ref="D105" r:id="rId33"/>
    <hyperlink ref="D108" r:id="rId34"/>
    <hyperlink ref="D112" r:id="rId35"/>
    <hyperlink ref="D114" r:id="rId36"/>
    <hyperlink ref="D117" r:id="rId37"/>
    <hyperlink ref="D123" r:id="rId38"/>
    <hyperlink ref="D126" r:id="rId39"/>
    <hyperlink ref="D130" r:id="rId40"/>
    <hyperlink ref="D135" r:id="rId41"/>
    <hyperlink ref="D136" r:id="rId42"/>
    <hyperlink ref="D137" r:id="rId43"/>
    <hyperlink ref="D138" r:id="rId44"/>
    <hyperlink ref="D142" r:id="rId45"/>
    <hyperlink ref="D144" r:id="rId46"/>
    <hyperlink ref="D145" r:id="rId47"/>
    <hyperlink ref="D146" r:id="rId48"/>
    <hyperlink ref="D147" r:id="rId49"/>
    <hyperlink ref="D148" r:id="rId50"/>
    <hyperlink ref="D149" r:id="rId51"/>
    <hyperlink ref="D150" r:id="rId52"/>
    <hyperlink ref="D151" r:id="rId53"/>
    <hyperlink ref="D152" r:id="rId54"/>
    <hyperlink ref="D153" r:id="rId55"/>
    <hyperlink ref="D154" r:id="rId56"/>
    <hyperlink ref="D155" r:id="rId57"/>
    <hyperlink ref="D156" r:id="rId58"/>
    <hyperlink ref="D157" r:id="rId59"/>
    <hyperlink ref="D158" r:id="rId60"/>
    <hyperlink ref="D159" r:id="rId61"/>
    <hyperlink ref="D162" r:id="rId62"/>
    <hyperlink ref="D166" r:id="rId63"/>
    <hyperlink ref="D167" r:id="rId64"/>
    <hyperlink ref="D168" r:id="rId65"/>
    <hyperlink ref="D169" r:id="rId66"/>
    <hyperlink ref="D170" r:id="rId67"/>
    <hyperlink ref="D173" r:id="rId68"/>
    <hyperlink ref="D174" r:id="rId69"/>
    <hyperlink ref="D180" r:id="rId70"/>
    <hyperlink ref="D181" r:id="rId71"/>
    <hyperlink ref="D182" r:id="rId72"/>
    <hyperlink ref="D183" r:id="rId73"/>
    <hyperlink ref="D187" r:id="rId74"/>
    <hyperlink ref="D188" r:id="rId75"/>
    <hyperlink ref="D189" r:id="rId76"/>
    <hyperlink ref="D190" r:id="rId77"/>
    <hyperlink ref="D191" r:id="rId78"/>
    <hyperlink ref="D192" r:id="rId79"/>
    <hyperlink ref="D193" r:id="rId80"/>
    <hyperlink ref="D194" r:id="rId81"/>
    <hyperlink ref="D195" r:id="rId82"/>
    <hyperlink ref="D196" r:id="rId83"/>
    <hyperlink ref="D197" r:id="rId84"/>
    <hyperlink ref="D198" r:id="rId85"/>
    <hyperlink ref="D199" r:id="rId86"/>
    <hyperlink ref="D200" r:id="rId87"/>
    <hyperlink ref="D201" r:id="rId88"/>
    <hyperlink ref="D202" r:id="rId89"/>
    <hyperlink ref="D203" r:id="rId90"/>
    <hyperlink ref="D204" r:id="rId91"/>
    <hyperlink ref="D205" r:id="rId92"/>
    <hyperlink ref="D206" r:id="rId93"/>
    <hyperlink ref="D207" r:id="rId94"/>
    <hyperlink ref="D208" r:id="rId95"/>
    <hyperlink ref="D211" r:id="rId96"/>
    <hyperlink ref="D212" r:id="rId97"/>
    <hyperlink ref="D213" r:id="rId98"/>
    <hyperlink ref="D214" r:id="rId99"/>
    <hyperlink ref="D215" r:id="rId100"/>
    <hyperlink ref="D216" r:id="rId101"/>
    <hyperlink ref="D217" r:id="rId102"/>
    <hyperlink ref="D218" r:id="rId103"/>
    <hyperlink ref="D222" r:id="rId104"/>
    <hyperlink ref="D223" r:id="rId105"/>
    <hyperlink ref="D224" r:id="rId106"/>
    <hyperlink ref="D225" r:id="rId107"/>
    <hyperlink ref="D226" r:id="rId108"/>
    <hyperlink ref="D227" r:id="rId109"/>
    <hyperlink ref="D228" r:id="rId110"/>
    <hyperlink ref="D229" r:id="rId111"/>
    <hyperlink ref="D230" r:id="rId112"/>
    <hyperlink ref="D231" r:id="rId113"/>
    <hyperlink ref="D232" r:id="rId114"/>
    <hyperlink ref="D233" r:id="rId115"/>
    <hyperlink ref="D234" r:id="rId116"/>
    <hyperlink ref="D235" r:id="rId117"/>
    <hyperlink ref="D236" r:id="rId118"/>
    <hyperlink ref="D237" r:id="rId119"/>
    <hyperlink ref="D238" r:id="rId120"/>
    <hyperlink ref="D239" r:id="rId121"/>
    <hyperlink ref="D240" r:id="rId122"/>
    <hyperlink ref="D243" r:id="rId123"/>
    <hyperlink ref="D244" r:id="rId124"/>
    <hyperlink ref="D245" r:id="rId125"/>
    <hyperlink ref="D246" r:id="rId126"/>
    <hyperlink ref="D247" r:id="rId127"/>
    <hyperlink ref="D248" r:id="rId128"/>
    <hyperlink ref="D249" r:id="rId129"/>
    <hyperlink ref="D250" r:id="rId130"/>
    <hyperlink ref="D251" r:id="rId131"/>
    <hyperlink ref="D252" r:id="rId132"/>
    <hyperlink ref="D253" r:id="rId133"/>
    <hyperlink ref="D254" r:id="rId134"/>
    <hyperlink ref="D255" r:id="rId135"/>
    <hyperlink ref="D256" r:id="rId136"/>
    <hyperlink ref="D257" r:id="rId137"/>
    <hyperlink ref="D258" r:id="rId138"/>
    <hyperlink ref="D259" r:id="rId139"/>
    <hyperlink ref="D260" r:id="rId140"/>
    <hyperlink ref="D261" r:id="rId141"/>
    <hyperlink ref="D262" r:id="rId142"/>
    <hyperlink ref="D263" r:id="rId143"/>
    <hyperlink ref="D264" r:id="rId144"/>
    <hyperlink ref="D265" r:id="rId145"/>
    <hyperlink ref="D266" r:id="rId146"/>
    <hyperlink ref="D267" r:id="rId147"/>
    <hyperlink ref="D268" r:id="rId148"/>
    <hyperlink ref="D269" r:id="rId149"/>
    <hyperlink ref="D270" r:id="rId150"/>
    <hyperlink ref="D271" r:id="rId151"/>
    <hyperlink ref="D272" r:id="rId152"/>
    <hyperlink ref="D273" r:id="rId153"/>
    <hyperlink ref="D274" r:id="rId154"/>
    <hyperlink ref="D275" r:id="rId155"/>
    <hyperlink ref="D276" r:id="rId156"/>
    <hyperlink ref="D277" r:id="rId157"/>
    <hyperlink ref="D278" r:id="rId158"/>
    <hyperlink ref="D279" r:id="rId159"/>
    <hyperlink ref="D280" r:id="rId160"/>
    <hyperlink ref="D281" r:id="rId161"/>
    <hyperlink ref="D282" r:id="rId162"/>
    <hyperlink ref="D283" r:id="rId163"/>
    <hyperlink ref="D284" r:id="rId164"/>
    <hyperlink ref="D285" r:id="rId165"/>
    <hyperlink ref="D286" r:id="rId166"/>
    <hyperlink ref="D287" r:id="rId167"/>
    <hyperlink ref="D288" r:id="rId168"/>
    <hyperlink ref="D289" r:id="rId169"/>
    <hyperlink ref="D290" r:id="rId170"/>
    <hyperlink ref="D291" r:id="rId171"/>
    <hyperlink ref="D292" r:id="rId172"/>
    <hyperlink ref="D294" r:id="rId173"/>
    <hyperlink ref="D300" r:id="rId174"/>
    <hyperlink ref="D301" r:id="rId175"/>
    <hyperlink ref="D302" r:id="rId176"/>
    <hyperlink ref="D305" r:id="rId177"/>
    <hyperlink ref="D306" r:id="rId178"/>
    <hyperlink ref="D307" r:id="rId179"/>
    <hyperlink ref="D308" r:id="rId180"/>
    <hyperlink ref="D310" r:id="rId181"/>
    <hyperlink ref="D313" r:id="rId182"/>
    <hyperlink ref="D319" r:id="rId183"/>
    <hyperlink ref="D324" r:id="rId184"/>
    <hyperlink ref="D330" r:id="rId185"/>
    <hyperlink ref="D331" r:id="rId186"/>
    <hyperlink ref="D332" r:id="rId187"/>
    <hyperlink ref="D333" r:id="rId188"/>
    <hyperlink ref="D334" r:id="rId189"/>
    <hyperlink ref="D335" r:id="rId190"/>
    <hyperlink ref="D336" r:id="rId191"/>
    <hyperlink ref="D337" r:id="rId192"/>
    <hyperlink ref="D338" r:id="rId193"/>
    <hyperlink ref="D340" r:id="rId194"/>
    <hyperlink ref="D342" r:id="rId195"/>
    <hyperlink ref="D343" r:id="rId196"/>
    <hyperlink ref="D348" r:id="rId197"/>
    <hyperlink ref="D352" r:id="rId198"/>
  </hyperlinks>
  <pageMargins left="0.7" right="0.7" top="0.75" bottom="0.75" header="0.3" footer="0.3"/>
  <pageSetup orientation="portrait"/>
  <headerFooter alignWithMargins="0"/>
  <ignoredErrors>
    <ignoredError sqref="A1:J355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95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2040</v>
      </c>
      <c r="B1" s="3" t="s">
        <v>2041</v>
      </c>
      <c r="C1" s="3" t="s">
        <v>2042</v>
      </c>
      <c r="D1" s="3" t="s">
        <v>2043</v>
      </c>
      <c r="E1" s="3" t="s">
        <v>2044</v>
      </c>
      <c r="F1" s="3" t="s">
        <v>2045</v>
      </c>
      <c r="G1" s="3" t="s">
        <v>2046</v>
      </c>
      <c r="H1" s="3" t="s">
        <v>2047</v>
      </c>
      <c r="I1" s="3" t="s">
        <v>2048</v>
      </c>
      <c r="J1" s="3" t="s">
        <v>2049</v>
      </c>
    </row>
    <row r="2" spans="1:10" s="1" customFormat="1" customHeight="1">
      <c r="A2" s="3" t="s">
        <v>2050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2051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2052</v>
      </c>
      <c r="B4" s="3"/>
      <c r="C4" s="3"/>
      <c r="D4" s="3"/>
      <c r="E4" s="3"/>
      <c r="F4" s="3"/>
      <c r="G4" s="3"/>
      <c r="H4" s="3"/>
      <c r="I4" s="3"/>
      <c r="J4" s="3"/>
    </row>
    <row r="5" spans="1:10" s="1" customFormat="1" customHeight="1">
      <c r="A5" s="3" t="s">
        <v>2053</v>
      </c>
      <c r="B5" s="3"/>
      <c r="C5" s="3"/>
      <c r="D5" s="3"/>
      <c r="E5" s="3"/>
      <c r="F5" s="3"/>
      <c r="G5" s="3"/>
      <c r="H5" s="3"/>
      <c r="I5" s="3"/>
      <c r="J5" s="3"/>
    </row>
    <row r="6" spans="1:10" ht="17.5" customHeight="1">
      <c r="A6" s="4" t="s">
        <v>2054</v>
      </c>
      <c r="B6" s="4" t="s">
        <v>2055</v>
      </c>
      <c r="C6" s="4"/>
      <c r="D6" s="5" t="s">
        <v>2056</v>
      </c>
      <c r="E6" s="4"/>
      <c r="F6" t="s">
        <v>2057</v>
      </c>
      <c r="G6" s="6" t="s">
        <v>2058</v>
      </c>
      <c r="H6" s="6" t="s">
        <v>2059</v>
      </c>
      <c r="I6" s="4"/>
      <c r="J6" s="6">
        <f>IF(I6&gt;0,PRODUCT(3700,I6),"")</f>
      </c>
    </row>
    <row r="7" spans="1:10" ht="17.5" customHeight="1">
      <c r="A7" s="4"/>
      <c r="B7" s="4"/>
      <c r="C7" s="4"/>
      <c r="D7" s="7"/>
      <c r="E7" s="4"/>
      <c r="F7"/>
      <c r="G7" s="6" t="s">
        <v>2060</v>
      </c>
      <c r="H7" s="6" t="s">
        <v>2061</v>
      </c>
      <c r="I7" s="4"/>
      <c r="J7" s="6">
        <f>IF(I7&gt;0,PRODUCT(1330,I7),"")</f>
      </c>
    </row>
    <row r="8" spans="1:10" ht="18.2" customHeight="1">
      <c r="A8" s="4"/>
      <c r="B8" s="4"/>
      <c r="C8" s="4"/>
      <c r="D8" s="7"/>
      <c r="E8" s="4"/>
      <c r="F8"/>
      <c r="G8" s="6" t="s">
        <v>2062</v>
      </c>
      <c r="H8" s="6" t="s">
        <v>2063</v>
      </c>
      <c r="I8" s="4"/>
      <c r="J8" s="6">
        <f>IF(I8&gt;0,PRODUCT(7100,I8),"")</f>
      </c>
    </row>
    <row r="9" spans="1:10" s="1" customFormat="1" customHeight="1">
      <c r="A9" s="3" t="s">
        <v>2064</v>
      </c>
      <c r="B9" s="3"/>
      <c r="C9" s="3"/>
      <c r="D9" s="3"/>
      <c r="E9" s="3"/>
      <c r="F9" s="3"/>
      <c r="G9" s="3"/>
      <c r="H9" s="3"/>
      <c r="I9" s="3"/>
      <c r="J9" s="3"/>
    </row>
    <row r="10" spans="1:10" customHeight="1">
      <c r="A10" s="4" t="s">
        <v>2065</v>
      </c>
      <c r="B10" s="4"/>
      <c r="C10" s="4"/>
      <c r="D10" s="5" t="s">
        <v>2066</v>
      </c>
      <c r="E10" s="4"/>
      <c r="F10"/>
      <c r="G10" s="6"/>
      <c r="H10" s="6" t="s">
        <v>2067</v>
      </c>
      <c r="I10" s="4"/>
      <c r="J10" s="6">
        <f>IF(I10&gt;0,PRODUCT(1410,I10),"")</f>
      </c>
    </row>
    <row r="11" spans="1:10" s="1" customFormat="1" customHeight="1">
      <c r="A11" s="3" t="s">
        <v>2068</v>
      </c>
      <c r="B11" s="3"/>
      <c r="C11" s="3"/>
      <c r="D11" s="3"/>
      <c r="E11" s="3"/>
      <c r="F11" s="3"/>
      <c r="G11" s="3"/>
      <c r="H11" s="3"/>
      <c r="I11" s="3"/>
      <c r="J11" s="3"/>
    </row>
    <row r="12" spans="1:10" ht="45.5" customHeight="1">
      <c r="A12" s="4" t="s">
        <v>2069</v>
      </c>
      <c r="B12" s="4" t="s">
        <v>2070</v>
      </c>
      <c r="C12" s="4"/>
      <c r="D12" s="5" t="s">
        <v>2071</v>
      </c>
      <c r="E12" s="4" t="s">
        <v>2072</v>
      </c>
      <c r="F12" t="s">
        <v>2073</v>
      </c>
      <c r="G12" s="6" t="s">
        <v>2074</v>
      </c>
      <c r="H12" s="6" t="s">
        <v>2075</v>
      </c>
      <c r="I12" s="4"/>
      <c r="J12" s="6">
        <f>IF(I12&gt;0,PRODUCT(1250,I12),"")</f>
      </c>
    </row>
    <row r="13" spans="1:10" ht="45.5" customHeight="1">
      <c r="A13" s="4"/>
      <c r="B13" s="4"/>
      <c r="C13" s="4"/>
      <c r="D13" s="7"/>
      <c r="E13" s="4"/>
      <c r="F13"/>
      <c r="G13" s="6" t="s">
        <v>2076</v>
      </c>
      <c r="H13" s="6" t="s">
        <v>2077</v>
      </c>
      <c r="I13" s="4"/>
      <c r="J13" s="6">
        <f>IF(I13&gt;0,PRODUCT(5500,I13),"")</f>
      </c>
    </row>
    <row r="14" spans="1:10" s="1" customFormat="1" customHeight="1">
      <c r="A14" s="3" t="s">
        <v>2078</v>
      </c>
      <c r="B14" s="3"/>
      <c r="C14" s="3"/>
      <c r="D14" s="3"/>
      <c r="E14" s="3"/>
      <c r="F14" s="3"/>
      <c r="G14" s="3"/>
      <c r="H14" s="3"/>
      <c r="I14" s="3"/>
      <c r="J14" s="3"/>
    </row>
    <row r="15" spans="1:10" s="1" customFormat="1" customHeight="1">
      <c r="A15" s="3" t="s">
        <v>2079</v>
      </c>
      <c r="B15" s="3"/>
      <c r="C15" s="3"/>
      <c r="D15" s="3"/>
      <c r="E15" s="3"/>
      <c r="F15" s="3"/>
      <c r="G15" s="3"/>
      <c r="H15" s="3"/>
      <c r="I15" s="3"/>
      <c r="J15" s="3"/>
    </row>
    <row r="16" spans="1:10" ht="61" customHeight="1">
      <c r="A16" s="4" t="s">
        <v>2080</v>
      </c>
      <c r="B16" s="4" t="s">
        <v>2081</v>
      </c>
      <c r="C16" s="4"/>
      <c r="D16" s="5" t="s">
        <v>2082</v>
      </c>
      <c r="E16" s="4"/>
      <c r="F16"/>
      <c r="G16" s="6" t="s">
        <v>2083</v>
      </c>
      <c r="H16" s="6" t="s">
        <v>2084</v>
      </c>
      <c r="I16" s="4"/>
      <c r="J16" s="6">
        <f>IF(I16&gt;0,PRODUCT(10400,I16),"")</f>
      </c>
    </row>
    <row r="17" spans="1:10" s="1" customFormat="1" customHeight="1">
      <c r="A17" s="3" t="s">
        <v>2085</v>
      </c>
      <c r="B17" s="3"/>
      <c r="C17" s="3"/>
      <c r="D17" s="3"/>
      <c r="E17" s="3"/>
      <c r="F17" s="3"/>
      <c r="G17" s="3"/>
      <c r="H17" s="3"/>
      <c r="I17" s="3"/>
      <c r="J17" s="3"/>
    </row>
    <row r="18" spans="1:10" ht="23" customHeight="1">
      <c r="A18" s="4" t="s">
        <v>2086</v>
      </c>
      <c r="B18" s="4" t="s">
        <v>2087</v>
      </c>
      <c r="C18" s="4"/>
      <c r="D18" s="5" t="s">
        <v>2088</v>
      </c>
      <c r="E18" s="4"/>
      <c r="F18" t="s">
        <v>2089</v>
      </c>
      <c r="G18" s="6" t="s">
        <v>2090</v>
      </c>
      <c r="H18" s="6" t="s">
        <v>2091</v>
      </c>
      <c r="I18" s="4"/>
      <c r="J18" s="6">
        <f>IF(I18&gt;0,PRODUCT(1990,I18),"")</f>
      </c>
    </row>
    <row r="19" spans="1:10" ht="23" customHeight="1">
      <c r="A19" s="4"/>
      <c r="B19" s="4"/>
      <c r="C19" s="4"/>
      <c r="D19" s="7"/>
      <c r="E19" s="4"/>
      <c r="F19"/>
      <c r="G19" s="6" t="s">
        <v>2092</v>
      </c>
      <c r="H19" s="6" t="s">
        <v>2093</v>
      </c>
      <c r="I19" s="4"/>
      <c r="J19" s="6">
        <f>IF(I19&gt;0,PRODUCT(890,I19),"")</f>
      </c>
    </row>
    <row r="20" spans="1:10" ht="23" customHeight="1">
      <c r="A20" s="4"/>
      <c r="B20" s="4"/>
      <c r="C20" s="4"/>
      <c r="D20" s="7"/>
      <c r="E20" s="4"/>
      <c r="F20"/>
      <c r="G20" s="6" t="s">
        <v>2094</v>
      </c>
      <c r="H20" s="6" t="s">
        <v>2095</v>
      </c>
      <c r="I20" s="4"/>
      <c r="J20" s="6">
        <f>IF(I20&gt;0,PRODUCT(5150,I20),"")</f>
      </c>
    </row>
    <row r="21" spans="1:10" ht="23" customHeight="1">
      <c r="A21" s="4"/>
      <c r="B21" s="4"/>
      <c r="C21" s="4"/>
      <c r="D21" s="7"/>
      <c r="E21" s="4"/>
      <c r="F21"/>
      <c r="G21" s="6" t="s">
        <v>2096</v>
      </c>
      <c r="H21" s="6" t="s">
        <v>2097</v>
      </c>
      <c r="I21" s="4"/>
      <c r="J21" s="6">
        <f>IF(I21&gt;0,PRODUCT(1180,I21),"")</f>
      </c>
    </row>
    <row r="22" spans="1:10" s="1" customFormat="1" customHeight="1">
      <c r="A22" s="3" t="s">
        <v>2098</v>
      </c>
      <c r="B22" s="3"/>
      <c r="C22" s="3"/>
      <c r="D22" s="3"/>
      <c r="E22" s="3"/>
      <c r="F22" s="3"/>
      <c r="G22" s="3"/>
      <c r="H22" s="3"/>
      <c r="I22" s="3"/>
      <c r="J22" s="3"/>
    </row>
    <row r="23" spans="1:10" ht="23" customHeight="1">
      <c r="A23" s="4" t="s">
        <v>2099</v>
      </c>
      <c r="B23" s="4" t="s">
        <v>2100</v>
      </c>
      <c r="C23" s="4"/>
      <c r="D23" s="5" t="s">
        <v>2101</v>
      </c>
      <c r="E23" s="4" t="s">
        <v>2102</v>
      </c>
      <c r="F23" t="s">
        <v>2103</v>
      </c>
      <c r="G23" s="6" t="s">
        <v>2104</v>
      </c>
      <c r="H23" s="6" t="s">
        <v>2105</v>
      </c>
      <c r="I23" s="4"/>
      <c r="J23" s="6">
        <f>IF(I23&gt;0,PRODUCT(1300,I23),"")</f>
      </c>
    </row>
    <row r="24" spans="1:10" ht="23" customHeight="1">
      <c r="A24" s="4"/>
      <c r="B24" s="4"/>
      <c r="C24" s="4"/>
      <c r="D24" s="7"/>
      <c r="E24" s="4"/>
      <c r="F24"/>
      <c r="G24" s="6" t="s">
        <v>2106</v>
      </c>
      <c r="H24" s="6" t="s">
        <v>2107</v>
      </c>
      <c r="I24" s="4"/>
      <c r="J24" s="6">
        <f>IF(I24&gt;0,PRODUCT(13500,I24),"")</f>
      </c>
    </row>
    <row r="25" spans="1:10" ht="23" customHeight="1">
      <c r="A25" s="4"/>
      <c r="B25" s="4"/>
      <c r="C25" s="4"/>
      <c r="D25" s="7"/>
      <c r="E25" s="4"/>
      <c r="F25"/>
      <c r="G25" s="6" t="s">
        <v>2108</v>
      </c>
      <c r="H25" s="6" t="s">
        <v>2109</v>
      </c>
      <c r="I25" s="4"/>
      <c r="J25" s="6">
        <f>IF(I25&gt;0,PRODUCT(315,I25),"")</f>
      </c>
    </row>
    <row r="26" spans="1:10" ht="23" customHeight="1">
      <c r="A26" s="4"/>
      <c r="B26" s="4"/>
      <c r="C26" s="4"/>
      <c r="D26" s="7"/>
      <c r="E26" s="4"/>
      <c r="F26"/>
      <c r="G26" s="6" t="s">
        <v>2110</v>
      </c>
      <c r="H26" s="6" t="s">
        <v>2111</v>
      </c>
      <c r="I26" s="4"/>
      <c r="J26" s="6">
        <f>IF(I26&gt;0,PRODUCT(700,I26),"")</f>
      </c>
    </row>
    <row r="27" spans="1:10" s="1" customFormat="1" customHeight="1">
      <c r="A27" s="3" t="s">
        <v>2112</v>
      </c>
      <c r="B27" s="3"/>
      <c r="C27" s="3"/>
      <c r="D27" s="3"/>
      <c r="E27" s="3"/>
      <c r="F27" s="3"/>
      <c r="G27" s="3"/>
      <c r="H27" s="3"/>
      <c r="I27" s="3"/>
      <c r="J27" s="3"/>
    </row>
    <row r="28" spans="1:10" s="1" customFormat="1" customHeight="1">
      <c r="A28" s="3" t="s">
        <v>2113</v>
      </c>
      <c r="B28" s="3"/>
      <c r="C28" s="3"/>
      <c r="D28" s="3"/>
      <c r="E28" s="3"/>
      <c r="F28" s="3"/>
      <c r="G28" s="3"/>
      <c r="H28" s="3"/>
      <c r="I28" s="3"/>
      <c r="J28" s="3"/>
    </row>
    <row r="29" spans="1:10" s="1" customFormat="1" customHeight="1">
      <c r="A29" s="3" t="s">
        <v>2114</v>
      </c>
      <c r="B29" s="3"/>
      <c r="C29" s="3"/>
      <c r="D29" s="3"/>
      <c r="E29" s="3"/>
      <c r="F29" s="3"/>
      <c r="G29" s="3"/>
      <c r="H29" s="3"/>
      <c r="I29" s="3"/>
      <c r="J29" s="3"/>
    </row>
    <row r="30" spans="1:10" ht="23" customHeight="1">
      <c r="A30" s="4" t="s">
        <v>2115</v>
      </c>
      <c r="B30" s="4" t="s">
        <v>2116</v>
      </c>
      <c r="C30" s="4"/>
      <c r="D30" s="5" t="s">
        <v>2117</v>
      </c>
      <c r="E30" s="4"/>
      <c r="F30" t="s">
        <v>2118</v>
      </c>
      <c r="G30" s="6" t="s">
        <v>2119</v>
      </c>
      <c r="H30" s="6" t="s">
        <v>2120</v>
      </c>
      <c r="I30" s="4"/>
      <c r="J30" s="6">
        <f>IF(I30&gt;0,PRODUCT(9230,I30),"")</f>
      </c>
    </row>
    <row r="31" spans="1:10" ht="23" customHeight="1">
      <c r="A31" s="4"/>
      <c r="B31" s="4"/>
      <c r="C31" s="4"/>
      <c r="D31" s="7"/>
      <c r="E31" s="4"/>
      <c r="F31"/>
      <c r="G31" s="6" t="s">
        <v>2121</v>
      </c>
      <c r="H31" s="6" t="s">
        <v>2122</v>
      </c>
      <c r="I31" s="4"/>
      <c r="J31" s="6">
        <f>IF(I31&gt;0,PRODUCT(9230,I31),"")</f>
      </c>
    </row>
    <row r="32" spans="1:10" ht="23" customHeight="1">
      <c r="A32" s="4"/>
      <c r="B32" s="4"/>
      <c r="C32" s="4"/>
      <c r="D32" s="7"/>
      <c r="E32" s="4"/>
      <c r="F32"/>
      <c r="G32" s="6" t="s">
        <v>2123</v>
      </c>
      <c r="H32" s="6" t="s">
        <v>2124</v>
      </c>
      <c r="I32" s="4"/>
      <c r="J32" s="6">
        <f>IF(I32&gt;0,PRODUCT(9230,I32),"")</f>
      </c>
    </row>
    <row r="33" spans="1:10" s="1" customFormat="1" customHeight="1">
      <c r="A33" s="3" t="s">
        <v>2125</v>
      </c>
      <c r="B33" s="3"/>
      <c r="C33" s="3"/>
      <c r="D33" s="3"/>
      <c r="E33" s="3"/>
      <c r="F33" s="3"/>
      <c r="G33" s="3"/>
      <c r="H33" s="3"/>
      <c r="I33" s="3"/>
      <c r="J33" s="3"/>
    </row>
    <row r="34" spans="1:10" ht="30.5" customHeight="1">
      <c r="A34" s="4" t="s">
        <v>2126</v>
      </c>
      <c r="B34" s="4" t="s">
        <v>2127</v>
      </c>
      <c r="C34" s="4"/>
      <c r="D34" s="5" t="s">
        <v>2128</v>
      </c>
      <c r="E34" s="4" t="s">
        <v>2129</v>
      </c>
      <c r="F34" t="s">
        <v>2130</v>
      </c>
      <c r="G34" s="6" t="s">
        <v>2131</v>
      </c>
      <c r="H34" s="6" t="s">
        <v>2132</v>
      </c>
      <c r="I34" s="4"/>
      <c r="J34" s="6">
        <f>IF(I34&gt;0,PRODUCT(1250,I34),"")</f>
      </c>
    </row>
    <row r="35" spans="1:10" ht="30.5" customHeight="1">
      <c r="A35" s="4"/>
      <c r="B35" s="4"/>
      <c r="C35" s="4"/>
      <c r="D35" s="7"/>
      <c r="E35" s="4"/>
      <c r="F35"/>
      <c r="G35" s="6" t="s">
        <v>2133</v>
      </c>
      <c r="H35" s="6" t="s">
        <v>2134</v>
      </c>
      <c r="I35" s="4"/>
      <c r="J35" s="6">
        <f>IF(I35&gt;0,PRODUCT(9225,I35),"")</f>
      </c>
    </row>
    <row r="36" spans="1:10" ht="30.5" customHeight="1">
      <c r="A36" s="4"/>
      <c r="B36" s="4"/>
      <c r="C36" s="4"/>
      <c r="D36" s="7"/>
      <c r="E36" s="4"/>
      <c r="F36"/>
      <c r="G36" s="6" t="s">
        <v>2135</v>
      </c>
      <c r="H36" s="6" t="s">
        <v>2136</v>
      </c>
      <c r="I36" s="4"/>
      <c r="J36" s="6">
        <f>IF(I36&gt;0,PRODUCT(5050,I36),"")</f>
      </c>
    </row>
    <row r="37" spans="1:10" s="1" customFormat="1" customHeight="1">
      <c r="A37" s="3" t="s">
        <v>2137</v>
      </c>
      <c r="B37" s="3"/>
      <c r="C37" s="3"/>
      <c r="D37" s="3"/>
      <c r="E37" s="3"/>
      <c r="F37" s="3"/>
      <c r="G37" s="3"/>
      <c r="H37" s="3"/>
      <c r="I37" s="3"/>
      <c r="J37" s="3"/>
    </row>
    <row r="38" spans="1:10" ht="91" customHeight="1">
      <c r="A38" s="4" t="s">
        <v>2138</v>
      </c>
      <c r="B38" s="4" t="s">
        <v>2139</v>
      </c>
      <c r="C38" s="4"/>
      <c r="D38" s="5" t="s">
        <v>2140</v>
      </c>
      <c r="E38" s="4"/>
      <c r="F38"/>
      <c r="G38" s="6" t="s">
        <v>2141</v>
      </c>
      <c r="H38" s="6"/>
      <c r="I38" s="4"/>
      <c r="J38" s="6"/>
    </row>
    <row r="39" spans="1:10" ht="45.5" customHeight="1">
      <c r="A39" s="4" t="s">
        <v>2142</v>
      </c>
      <c r="B39" s="4" t="s">
        <v>2143</v>
      </c>
      <c r="C39" s="4"/>
      <c r="D39" s="5" t="s">
        <v>2144</v>
      </c>
      <c r="E39" s="4"/>
      <c r="F39"/>
      <c r="G39" s="6" t="s">
        <v>2145</v>
      </c>
      <c r="H39" s="6"/>
      <c r="I39" s="4"/>
      <c r="J39" s="6"/>
    </row>
    <row r="40" spans="1:10" ht="45.5" customHeight="1">
      <c r="A40" s="4"/>
      <c r="B40" s="4"/>
      <c r="C40" s="4"/>
      <c r="D40" s="7"/>
      <c r="E40" s="4"/>
      <c r="F40"/>
      <c r="G40" s="6" t="s">
        <v>2146</v>
      </c>
      <c r="H40" s="6"/>
      <c r="I40" s="4"/>
      <c r="J40" s="6"/>
    </row>
    <row r="41" spans="1:10" s="1" customFormat="1" customHeight="1">
      <c r="A41" s="3" t="s">
        <v>2147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ht="18" customHeight="1">
      <c r="A42" s="4" t="s">
        <v>2148</v>
      </c>
      <c r="B42" s="4" t="s">
        <v>2149</v>
      </c>
      <c r="C42" s="4"/>
      <c r="D42" s="5" t="s">
        <v>2150</v>
      </c>
      <c r="E42" s="4"/>
      <c r="F42" t="s">
        <v>2151</v>
      </c>
      <c r="G42" s="6" t="s">
        <v>2152</v>
      </c>
      <c r="H42" s="6" t="s">
        <v>2153</v>
      </c>
      <c r="I42" s="4"/>
      <c r="J42" s="6">
        <f>IF(I42&gt;0,PRODUCT(1400,I42),"")</f>
      </c>
    </row>
    <row r="43" spans="1:10" ht="18" customHeight="1">
      <c r="A43" s="4"/>
      <c r="B43" s="4"/>
      <c r="C43" s="4"/>
      <c r="D43" s="7"/>
      <c r="E43" s="4"/>
      <c r="F43"/>
      <c r="G43" s="6" t="s">
        <v>2154</v>
      </c>
      <c r="H43" s="6" t="s">
        <v>2155</v>
      </c>
      <c r="I43" s="4"/>
      <c r="J43" s="6">
        <f>IF(I43&gt;0,PRODUCT(1400,I43),"")</f>
      </c>
    </row>
    <row r="44" spans="1:10" ht="18" customHeight="1">
      <c r="A44" s="4"/>
      <c r="B44" s="4"/>
      <c r="C44" s="4"/>
      <c r="D44" s="7"/>
      <c r="E44" s="4"/>
      <c r="F44"/>
      <c r="G44" s="6" t="s">
        <v>2156</v>
      </c>
      <c r="H44" s="6" t="s">
        <v>2157</v>
      </c>
      <c r="I44" s="4"/>
      <c r="J44" s="6">
        <f>IF(I44&gt;0,PRODUCT(2900,I44),"")</f>
      </c>
    </row>
    <row r="45" spans="1:10" ht="18" customHeight="1">
      <c r="A45" s="4"/>
      <c r="B45" s="4"/>
      <c r="C45" s="4"/>
      <c r="D45" s="7"/>
      <c r="E45" s="4"/>
      <c r="F45"/>
      <c r="G45" s="6" t="s">
        <v>2158</v>
      </c>
      <c r="H45" s="6" t="s">
        <v>2159</v>
      </c>
      <c r="I45" s="4"/>
      <c r="J45" s="6">
        <f>IF(I45&gt;0,PRODUCT(350,I45),"")</f>
      </c>
    </row>
    <row r="46" spans="1:10" ht="19" customHeight="1">
      <c r="A46" s="4"/>
      <c r="B46" s="4"/>
      <c r="C46" s="4"/>
      <c r="D46" s="7"/>
      <c r="E46" s="4"/>
      <c r="F46"/>
      <c r="G46" s="6" t="s">
        <v>2160</v>
      </c>
      <c r="H46" s="6" t="s">
        <v>2161</v>
      </c>
      <c r="I46" s="4"/>
      <c r="J46" s="6">
        <f>IF(I46&gt;0,PRODUCT(1005,I46),"")</f>
      </c>
    </row>
    <row r="47" spans="1:10" ht="18" customHeight="1">
      <c r="A47" s="4" t="s">
        <v>2162</v>
      </c>
      <c r="B47" s="4" t="s">
        <v>2163</v>
      </c>
      <c r="C47" s="4"/>
      <c r="D47" s="5" t="s">
        <v>2164</v>
      </c>
      <c r="E47" s="4"/>
      <c r="F47" t="s">
        <v>2165</v>
      </c>
      <c r="G47" s="6" t="s">
        <v>2166</v>
      </c>
      <c r="H47" s="6" t="s">
        <v>2167</v>
      </c>
      <c r="I47" s="4"/>
      <c r="J47" s="6">
        <f>IF(I47&gt;0,PRODUCT(1500,I47),"")</f>
      </c>
    </row>
    <row r="48" spans="1:10" ht="18" customHeight="1">
      <c r="A48" s="4"/>
      <c r="B48" s="4"/>
      <c r="C48" s="4"/>
      <c r="D48" s="7"/>
      <c r="E48" s="4"/>
      <c r="F48"/>
      <c r="G48" s="6" t="s">
        <v>2168</v>
      </c>
      <c r="H48" s="6" t="s">
        <v>2169</v>
      </c>
      <c r="I48" s="4"/>
      <c r="J48" s="6">
        <f>IF(I48&gt;0,PRODUCT(1450,I48),"")</f>
      </c>
    </row>
    <row r="49" spans="1:10" ht="18" customHeight="1">
      <c r="A49" s="4"/>
      <c r="B49" s="4"/>
      <c r="C49" s="4"/>
      <c r="D49" s="7"/>
      <c r="E49" s="4"/>
      <c r="F49"/>
      <c r="G49" s="6" t="s">
        <v>2170</v>
      </c>
      <c r="H49" s="6" t="s">
        <v>2171</v>
      </c>
      <c r="I49" s="4"/>
      <c r="J49" s="6">
        <f>IF(I49&gt;0,PRODUCT(3335,I49),"")</f>
      </c>
    </row>
    <row r="50" spans="1:10" ht="18" customHeight="1">
      <c r="A50" s="4"/>
      <c r="B50" s="4"/>
      <c r="C50" s="4"/>
      <c r="D50" s="7"/>
      <c r="E50" s="4"/>
      <c r="F50"/>
      <c r="G50" s="6" t="s">
        <v>2172</v>
      </c>
      <c r="H50" s="6" t="s">
        <v>2173</v>
      </c>
      <c r="I50" s="4"/>
      <c r="J50" s="6">
        <f>IF(I50&gt;0,PRODUCT(1015,I50),"")</f>
      </c>
    </row>
    <row r="51" spans="1:10" ht="19" customHeight="1">
      <c r="A51" s="4"/>
      <c r="B51" s="4"/>
      <c r="C51" s="4"/>
      <c r="D51" s="7"/>
      <c r="E51" s="4"/>
      <c r="F51"/>
      <c r="G51" s="6" t="s">
        <v>2174</v>
      </c>
      <c r="H51" s="6" t="s">
        <v>2175</v>
      </c>
      <c r="I51" s="4"/>
      <c r="J51" s="6">
        <f>IF(I51&gt;0,PRODUCT(1450,I51),"")</f>
      </c>
    </row>
    <row r="52" spans="1:10" s="1" customFormat="1" customHeight="1">
      <c r="A52" s="3" t="s">
        <v>2176</v>
      </c>
      <c r="B52" s="3"/>
      <c r="C52" s="3"/>
      <c r="D52" s="3"/>
      <c r="E52" s="3"/>
      <c r="F52" s="3"/>
      <c r="G52" s="3"/>
      <c r="H52" s="3"/>
      <c r="I52" s="3"/>
      <c r="J52" s="3"/>
    </row>
    <row r="53" spans="1:10" ht="15.5" customHeight="1">
      <c r="A53" s="4" t="s">
        <v>2177</v>
      </c>
      <c r="B53" s="4" t="s">
        <v>2178</v>
      </c>
      <c r="C53" s="4"/>
      <c r="D53" s="5" t="s">
        <v>2179</v>
      </c>
      <c r="E53" s="4" t="s">
        <v>2180</v>
      </c>
      <c r="F53" t="s">
        <v>2181</v>
      </c>
      <c r="G53" s="6" t="s">
        <v>2182</v>
      </c>
      <c r="H53" s="6" t="s">
        <v>2183</v>
      </c>
      <c r="I53" s="4"/>
      <c r="J53" s="6">
        <f>IF(I53&gt;0,PRODUCT(2060,I53),"")</f>
      </c>
    </row>
    <row r="54" spans="1:10" ht="15.5" customHeight="1">
      <c r="A54" s="4"/>
      <c r="B54" s="4"/>
      <c r="C54" s="4"/>
      <c r="D54" s="7"/>
      <c r="E54" s="4"/>
      <c r="F54"/>
      <c r="G54" s="6" t="s">
        <v>2184</v>
      </c>
      <c r="H54" s="6" t="s">
        <v>2185</v>
      </c>
      <c r="I54" s="4"/>
      <c r="J54" s="6">
        <f>IF(I54&gt;0,PRODUCT(2060,I54),"")</f>
      </c>
    </row>
    <row r="55" spans="1:10" ht="15.5" customHeight="1">
      <c r="A55" s="4"/>
      <c r="B55" s="4"/>
      <c r="C55" s="4"/>
      <c r="D55" s="7"/>
      <c r="E55" s="4"/>
      <c r="F55"/>
      <c r="G55" s="6" t="s">
        <v>2186</v>
      </c>
      <c r="H55" s="6" t="s">
        <v>2187</v>
      </c>
      <c r="I55" s="4"/>
      <c r="J55" s="6">
        <f>IF(I55&gt;0,PRODUCT(2060,I55),"")</f>
      </c>
    </row>
    <row r="56" spans="1:10" ht="15.5" customHeight="1">
      <c r="A56" s="4"/>
      <c r="B56" s="4"/>
      <c r="C56" s="4"/>
      <c r="D56" s="7"/>
      <c r="E56" s="4"/>
      <c r="F56"/>
      <c r="G56" s="6" t="s">
        <v>2188</v>
      </c>
      <c r="H56" s="6" t="s">
        <v>2189</v>
      </c>
      <c r="I56" s="4"/>
      <c r="J56" s="6">
        <f>IF(I56&gt;0,PRODUCT(2060,I56),"")</f>
      </c>
    </row>
    <row r="57" spans="1:10" ht="35.5" customHeight="1">
      <c r="A57" s="4" t="s">
        <v>2190</v>
      </c>
      <c r="B57" s="4" t="s">
        <v>2191</v>
      </c>
      <c r="C57" s="4"/>
      <c r="D57" s="5" t="s">
        <v>2192</v>
      </c>
      <c r="E57" s="4" t="s">
        <v>2193</v>
      </c>
      <c r="F57"/>
      <c r="G57" s="6" t="s">
        <v>2194</v>
      </c>
      <c r="H57" s="6" t="s">
        <v>2195</v>
      </c>
      <c r="I57" s="4"/>
      <c r="J57" s="6">
        <f>IF(I57&gt;0,PRODUCT(1200,I57),"")</f>
      </c>
    </row>
    <row r="58" spans="1:10" ht="35.7" customHeight="1">
      <c r="A58" s="4"/>
      <c r="B58" s="4"/>
      <c r="C58" s="4"/>
      <c r="D58" s="7"/>
      <c r="E58" s="4"/>
      <c r="F58"/>
      <c r="G58" s="6" t="s">
        <v>2196</v>
      </c>
      <c r="H58" s="6" t="s">
        <v>2197</v>
      </c>
      <c r="I58" s="4"/>
      <c r="J58" s="6">
        <f>IF(I58&gt;0,PRODUCT(3540,I58),"")</f>
      </c>
    </row>
    <row r="59" spans="1:10" s="1" customFormat="1" customHeight="1">
      <c r="A59" s="3" t="s">
        <v>2198</v>
      </c>
      <c r="B59" s="3"/>
      <c r="C59" s="3"/>
      <c r="D59" s="3"/>
      <c r="E59" s="3"/>
      <c r="F59" s="3"/>
      <c r="G59" s="3"/>
      <c r="H59" s="3"/>
      <c r="I59" s="3"/>
      <c r="J59" s="3"/>
    </row>
    <row r="60" spans="1:10" s="1" customFormat="1" customHeight="1">
      <c r="A60" s="3" t="s">
        <v>2199</v>
      </c>
      <c r="B60" s="3"/>
      <c r="C60" s="3"/>
      <c r="D60" s="3"/>
      <c r="E60" s="3"/>
      <c r="F60" s="3"/>
      <c r="G60" s="3"/>
      <c r="H60" s="3"/>
      <c r="I60" s="3"/>
      <c r="J60" s="3"/>
    </row>
    <row r="61" spans="1:10" ht="30.5" customHeight="1">
      <c r="A61" s="4" t="s">
        <v>2200</v>
      </c>
      <c r="B61" s="4"/>
      <c r="C61" s="4"/>
      <c r="D61" s="5" t="s">
        <v>2201</v>
      </c>
      <c r="E61" s="4" t="s">
        <v>2202</v>
      </c>
      <c r="F61"/>
      <c r="G61" s="6" t="s">
        <v>2203</v>
      </c>
      <c r="H61" s="6" t="s">
        <v>2204</v>
      </c>
      <c r="I61" s="4"/>
      <c r="J61" s="6">
        <f>IF(I61&gt;0,PRODUCT(980,I61),"")</f>
      </c>
    </row>
    <row r="62" spans="1:10" ht="30.5" customHeight="1">
      <c r="A62" s="4"/>
      <c r="B62" s="4"/>
      <c r="C62" s="4"/>
      <c r="D62" s="7"/>
      <c r="E62" s="4"/>
      <c r="F62"/>
      <c r="G62" s="6" t="s">
        <v>2205</v>
      </c>
      <c r="H62" s="6" t="s">
        <v>2206</v>
      </c>
      <c r="I62" s="4"/>
      <c r="J62" s="6">
        <f>IF(I62&gt;0,PRODUCT(7200,I62),"")</f>
      </c>
    </row>
    <row r="63" spans="1:10" ht="30.5" customHeight="1">
      <c r="A63" s="4"/>
      <c r="B63" s="4"/>
      <c r="C63" s="4"/>
      <c r="D63" s="7"/>
      <c r="E63" s="4"/>
      <c r="F63"/>
      <c r="G63" s="6" t="s">
        <v>2207</v>
      </c>
      <c r="H63" s="6" t="s">
        <v>2208</v>
      </c>
      <c r="I63" s="4"/>
      <c r="J63" s="6">
        <f>IF(I63&gt;0,PRODUCT(3870,I63),"")</f>
      </c>
    </row>
    <row r="64" spans="1:10" s="1" customFormat="1" customHeight="1">
      <c r="A64" s="3" t="s">
        <v>2209</v>
      </c>
      <c r="B64" s="3"/>
      <c r="C64" s="3"/>
      <c r="D64" s="3"/>
      <c r="E64" s="3"/>
      <c r="F64" s="3"/>
      <c r="G64" s="3"/>
      <c r="H64" s="3"/>
      <c r="I64" s="3"/>
      <c r="J64" s="3"/>
    </row>
    <row r="65" spans="1:10" ht="91" customHeight="1">
      <c r="A65" s="4" t="s">
        <v>2210</v>
      </c>
      <c r="B65" s="4" t="s">
        <v>2211</v>
      </c>
      <c r="C65" s="4"/>
      <c r="D65" s="5" t="s">
        <v>2212</v>
      </c>
      <c r="E65" s="4"/>
      <c r="F65"/>
      <c r="G65" s="6" t="s">
        <v>2213</v>
      </c>
      <c r="H65" s="6" t="s">
        <v>2214</v>
      </c>
      <c r="I65" s="4"/>
      <c r="J65" s="6">
        <f>IF(I65&gt;0,PRODUCT(8450,I65),"")</f>
      </c>
    </row>
    <row r="66" spans="1:10" ht="68.2" customHeight="1">
      <c r="A66" s="4" t="s">
        <v>2215</v>
      </c>
      <c r="B66" s="4" t="s">
        <v>2216</v>
      </c>
      <c r="C66" s="4"/>
      <c r="D66" s="5" t="s">
        <v>2217</v>
      </c>
      <c r="E66" s="4"/>
      <c r="F66"/>
      <c r="G66" s="6" t="s">
        <v>2218</v>
      </c>
      <c r="H66" s="6" t="s">
        <v>2219</v>
      </c>
      <c r="I66" s="4"/>
      <c r="J66" s="6">
        <f>IF(I66&gt;0,PRODUCT(24650,I66),"")</f>
      </c>
    </row>
    <row r="67" spans="1:10" ht="23" customHeight="1">
      <c r="A67" s="4" t="s">
        <v>2220</v>
      </c>
      <c r="B67" s="4" t="s">
        <v>2221</v>
      </c>
      <c r="C67" s="4"/>
      <c r="D67" s="5" t="s">
        <v>2222</v>
      </c>
      <c r="E67" s="4"/>
      <c r="F67" t="s">
        <v>2223</v>
      </c>
      <c r="G67" s="6" t="s">
        <v>2224</v>
      </c>
      <c r="H67" s="6" t="s">
        <v>2225</v>
      </c>
      <c r="I67" s="4"/>
      <c r="J67" s="6">
        <f>IF(I67&gt;0,PRODUCT(12790,I67),"")</f>
      </c>
    </row>
    <row r="68" spans="1:10" ht="23" customHeight="1">
      <c r="A68" s="4"/>
      <c r="B68" s="4"/>
      <c r="C68" s="4"/>
      <c r="D68" s="7"/>
      <c r="E68" s="4"/>
      <c r="F68"/>
      <c r="G68" s="6" t="s">
        <v>2226</v>
      </c>
      <c r="H68" s="6" t="s">
        <v>2227</v>
      </c>
      <c r="I68" s="4"/>
      <c r="J68" s="6">
        <f>IF(I68&gt;0,PRODUCT(1150,I68),"")</f>
      </c>
    </row>
    <row r="69" spans="1:10" ht="23" customHeight="1">
      <c r="A69" s="4"/>
      <c r="B69" s="4"/>
      <c r="C69" s="4"/>
      <c r="D69" s="7"/>
      <c r="E69" s="4"/>
      <c r="F69"/>
      <c r="G69" s="6" t="s">
        <v>2228</v>
      </c>
      <c r="H69" s="6" t="s">
        <v>2229</v>
      </c>
      <c r="I69" s="4"/>
      <c r="J69" s="6">
        <f>IF(I69&gt;0,PRODUCT(4480,I69),"")</f>
      </c>
    </row>
    <row r="70" spans="1:10" s="1" customFormat="1" customHeight="1">
      <c r="A70" s="3" t="s">
        <v>2230</v>
      </c>
      <c r="B70" s="3"/>
      <c r="C70" s="3"/>
      <c r="D70" s="3"/>
      <c r="E70" s="3"/>
      <c r="F70" s="3"/>
      <c r="G70" s="3"/>
      <c r="H70" s="3"/>
      <c r="I70" s="3"/>
      <c r="J70" s="3"/>
    </row>
    <row r="71" spans="1:10" ht="21.5" customHeight="1">
      <c r="A71" s="4" t="s">
        <v>2231</v>
      </c>
      <c r="B71" s="4" t="s">
        <v>2232</v>
      </c>
      <c r="C71" s="4"/>
      <c r="D71" s="5" t="s">
        <v>2233</v>
      </c>
      <c r="E71" s="4" t="s">
        <v>2234</v>
      </c>
      <c r="F71" t="s">
        <v>2235</v>
      </c>
      <c r="G71" s="6" t="s">
        <v>2236</v>
      </c>
      <c r="H71" s="6" t="s">
        <v>2237</v>
      </c>
      <c r="I71" s="4"/>
      <c r="J71" s="6">
        <f>IF(I71&gt;0,IF(AND(I71&gt;=1,I71&lt;=1),PRODUCT(8000,I71),IF(AND(I71&gt;=2,I71&lt;=4),PRODUCT(7900,I71),IF(I71&gt;=5,PRODUCT(7800,I71),""))),"")</f>
      </c>
    </row>
    <row r="72" spans="1:10" ht="21.5" customHeight="1">
      <c r="A72" s="4"/>
      <c r="B72" s="4"/>
      <c r="C72" s="4"/>
      <c r="D72" s="7"/>
      <c r="E72" s="4"/>
      <c r="F72"/>
      <c r="G72" s="6" t="s">
        <v>2238</v>
      </c>
      <c r="H72" s="6" t="s">
        <v>2239</v>
      </c>
      <c r="I72" s="4"/>
      <c r="J72" s="6">
        <f>IF(I72&gt;0,PRODUCT(1200,I72),"")</f>
      </c>
    </row>
    <row r="73" spans="1:10" ht="21.5" customHeight="1">
      <c r="A73" s="4"/>
      <c r="B73" s="4"/>
      <c r="C73" s="4"/>
      <c r="D73" s="7"/>
      <c r="E73" s="4"/>
      <c r="F73"/>
      <c r="G73" s="6" t="s">
        <v>2240</v>
      </c>
      <c r="H73" s="6" t="s">
        <v>2241</v>
      </c>
      <c r="I73" s="4"/>
      <c r="J73" s="6">
        <f>IF(I73&gt;0,PRODUCT(4300,I73),"")</f>
      </c>
    </row>
    <row r="74" spans="1:10" s="1" customFormat="1" customHeight="1">
      <c r="A74" s="3" t="s">
        <v>2242</v>
      </c>
      <c r="B74" s="3"/>
      <c r="C74" s="3"/>
      <c r="D74" s="3"/>
      <c r="E74" s="3"/>
      <c r="F74" s="3"/>
      <c r="G74" s="3"/>
      <c r="H74" s="3"/>
      <c r="I74" s="3"/>
      <c r="J74" s="3"/>
    </row>
    <row r="75" spans="1:10" ht="30.5" customHeight="1">
      <c r="A75" s="4" t="s">
        <v>2243</v>
      </c>
      <c r="B75" s="4" t="s">
        <v>2244</v>
      </c>
      <c r="C75" s="4"/>
      <c r="D75" s="5" t="s">
        <v>2245</v>
      </c>
      <c r="E75" s="4"/>
      <c r="F75" t="s">
        <v>2246</v>
      </c>
      <c r="G75" s="6" t="s">
        <v>2247</v>
      </c>
      <c r="H75" s="6" t="s">
        <v>2248</v>
      </c>
      <c r="I75" s="4"/>
      <c r="J75" s="6">
        <f>IF(I75&gt;0,PRODUCT(1740,I75),"")</f>
      </c>
    </row>
    <row r="76" spans="1:10" ht="30.5" customHeight="1">
      <c r="A76" s="4"/>
      <c r="B76" s="4"/>
      <c r="C76" s="4"/>
      <c r="D76" s="7"/>
      <c r="E76" s="4"/>
      <c r="F76"/>
      <c r="G76" s="6" t="s">
        <v>2249</v>
      </c>
      <c r="H76" s="6" t="s">
        <v>2250</v>
      </c>
      <c r="I76" s="4"/>
      <c r="J76" s="6">
        <f>IF(I76&gt;0,PRODUCT(7560,I76),"")</f>
      </c>
    </row>
    <row r="77" spans="1:10" ht="30.5" customHeight="1">
      <c r="A77" s="4"/>
      <c r="B77" s="4"/>
      <c r="C77" s="4"/>
      <c r="D77" s="7"/>
      <c r="E77" s="4"/>
      <c r="F77"/>
      <c r="G77" s="6" t="s">
        <v>2251</v>
      </c>
      <c r="H77" s="6" t="s">
        <v>2252</v>
      </c>
      <c r="I77" s="4"/>
      <c r="J77" s="6">
        <f>IF(I77&gt;0,PRODUCT(950,I77),"")</f>
      </c>
    </row>
    <row r="78" spans="1:10" s="1" customFormat="1" customHeight="1">
      <c r="A78" s="3" t="s">
        <v>2253</v>
      </c>
      <c r="B78" s="3"/>
      <c r="C78" s="3"/>
      <c r="D78" s="3"/>
      <c r="E78" s="3"/>
      <c r="F78" s="3"/>
      <c r="G78" s="3"/>
      <c r="H78" s="3"/>
      <c r="I78" s="3"/>
      <c r="J78" s="3"/>
    </row>
    <row r="79" spans="1:10" ht="23" customHeight="1">
      <c r="A79" s="4" t="s">
        <v>2254</v>
      </c>
      <c r="B79" s="4" t="s">
        <v>2255</v>
      </c>
      <c r="C79" s="4"/>
      <c r="D79" s="5" t="s">
        <v>2256</v>
      </c>
      <c r="E79" s="4"/>
      <c r="F79" t="s">
        <v>2257</v>
      </c>
      <c r="G79" s="6" t="s">
        <v>2258</v>
      </c>
      <c r="H79" s="6" t="s">
        <v>2259</v>
      </c>
      <c r="I79" s="4"/>
      <c r="J79" s="6">
        <f>IF(I79&gt;0,PRODUCT(1400,I79),"")</f>
      </c>
    </row>
    <row r="80" spans="1:10" ht="23" customHeight="1">
      <c r="A80" s="4"/>
      <c r="B80" s="4"/>
      <c r="C80" s="4"/>
      <c r="D80" s="7"/>
      <c r="E80" s="4"/>
      <c r="F80"/>
      <c r="G80" s="6" t="s">
        <v>2260</v>
      </c>
      <c r="H80" s="6" t="s">
        <v>2261</v>
      </c>
      <c r="I80" s="4"/>
      <c r="J80" s="6">
        <f>IF(I80&gt;0,PRODUCT(2760,I80),"")</f>
      </c>
    </row>
    <row r="81" spans="1:10" ht="23" customHeight="1">
      <c r="A81" s="4"/>
      <c r="B81" s="4"/>
      <c r="C81" s="4"/>
      <c r="D81" s="7"/>
      <c r="E81" s="4"/>
      <c r="F81"/>
      <c r="G81" s="6" t="s">
        <v>2262</v>
      </c>
      <c r="H81" s="6" t="s">
        <v>2263</v>
      </c>
      <c r="I81" s="4"/>
      <c r="J81" s="6">
        <f>IF(I81&gt;0,PRODUCT(1400,I81),"")</f>
      </c>
    </row>
    <row r="82" spans="1:10" ht="23" customHeight="1">
      <c r="A82" s="4"/>
      <c r="B82" s="4"/>
      <c r="C82" s="4"/>
      <c r="D82" s="7"/>
      <c r="E82" s="4"/>
      <c r="F82"/>
      <c r="G82" s="6" t="s">
        <v>2264</v>
      </c>
      <c r="H82" s="6" t="s">
        <v>2265</v>
      </c>
      <c r="I82" s="4"/>
      <c r="J82" s="6">
        <f>IF(I82&gt;0,PRODUCT(1400,I82),"")</f>
      </c>
    </row>
    <row r="83" spans="1:10" s="1" customFormat="1" customHeight="1">
      <c r="A83" s="3" t="s">
        <v>2266</v>
      </c>
      <c r="B83" s="3"/>
      <c r="C83" s="3"/>
      <c r="D83" s="3"/>
      <c r="E83" s="3"/>
      <c r="F83" s="3"/>
      <c r="G83" s="3"/>
      <c r="H83" s="3"/>
      <c r="I83" s="3"/>
      <c r="J83" s="3"/>
    </row>
    <row r="84" spans="1:10" ht="18" customHeight="1">
      <c r="A84" s="4" t="s">
        <v>2267</v>
      </c>
      <c r="B84" s="4" t="s">
        <v>2268</v>
      </c>
      <c r="C84" s="4"/>
      <c r="D84" s="5" t="s">
        <v>2269</v>
      </c>
      <c r="E84" s="4" t="s">
        <v>2270</v>
      </c>
      <c r="F84" t="s">
        <v>2271</v>
      </c>
      <c r="G84" s="6" t="s">
        <v>2272</v>
      </c>
      <c r="H84" s="6" t="s">
        <v>2273</v>
      </c>
      <c r="I84" s="4"/>
      <c r="J84" s="6">
        <f>IF(I84&gt;0,PRODUCT(190,I84),"")</f>
      </c>
    </row>
    <row r="85" spans="1:10" ht="18" customHeight="1">
      <c r="A85" s="4"/>
      <c r="B85" s="4"/>
      <c r="C85" s="4"/>
      <c r="D85" s="7"/>
      <c r="E85" s="4"/>
      <c r="F85"/>
      <c r="G85" s="6" t="s">
        <v>2274</v>
      </c>
      <c r="H85" s="6" t="s">
        <v>2275</v>
      </c>
      <c r="I85" s="4"/>
      <c r="J85" s="6">
        <f>IF(I85&gt;0,PRODUCT(340,I85),"")</f>
      </c>
    </row>
    <row r="86" spans="1:10" ht="18" customHeight="1">
      <c r="A86" s="4"/>
      <c r="B86" s="4"/>
      <c r="C86" s="4"/>
      <c r="D86" s="7"/>
      <c r="E86" s="4"/>
      <c r="F86"/>
      <c r="G86" s="6" t="s">
        <v>2276</v>
      </c>
      <c r="H86" s="6" t="s">
        <v>2277</v>
      </c>
      <c r="I86" s="4"/>
      <c r="J86" s="6">
        <f>IF(I86&gt;0,PRODUCT(1100,I86),"")</f>
      </c>
    </row>
    <row r="87" spans="1:10" ht="18" customHeight="1">
      <c r="A87" s="4"/>
      <c r="B87" s="4"/>
      <c r="C87" s="4"/>
      <c r="D87" s="7"/>
      <c r="E87" s="4"/>
      <c r="F87"/>
      <c r="G87" s="6" t="s">
        <v>2278</v>
      </c>
      <c r="H87" s="6" t="s">
        <v>2279</v>
      </c>
      <c r="I87" s="4"/>
      <c r="J87" s="6">
        <f>IF(I87&gt;0,PRODUCT(1100,I87),"")</f>
      </c>
    </row>
    <row r="88" spans="1:10" ht="19" customHeight="1">
      <c r="A88" s="4"/>
      <c r="B88" s="4"/>
      <c r="C88" s="4"/>
      <c r="D88" s="7"/>
      <c r="E88" s="4"/>
      <c r="F88"/>
      <c r="G88" s="6" t="s">
        <v>2280</v>
      </c>
      <c r="H88" s="6" t="s">
        <v>2281</v>
      </c>
      <c r="I88" s="4"/>
      <c r="J88" s="6">
        <f>IF(I88&gt;0,PRODUCT(3380,I88),"")</f>
      </c>
    </row>
    <row r="89" spans="1:10" s="1" customFormat="1" customHeight="1">
      <c r="A89" s="3" t="s">
        <v>2282</v>
      </c>
      <c r="B89" s="3"/>
      <c r="C89" s="3"/>
      <c r="D89" s="3"/>
      <c r="E89" s="3"/>
      <c r="F89" s="3"/>
      <c r="G89" s="3"/>
      <c r="H89" s="3"/>
      <c r="I89" s="3"/>
      <c r="J89" s="3"/>
    </row>
    <row r="90" spans="1:10" s="1" customFormat="1" customHeight="1">
      <c r="A90" s="3" t="s">
        <v>2283</v>
      </c>
      <c r="B90" s="3"/>
      <c r="C90" s="3"/>
      <c r="D90" s="3"/>
      <c r="E90" s="3"/>
      <c r="F90" s="3"/>
      <c r="G90" s="3"/>
      <c r="H90" s="3"/>
      <c r="I90" s="3"/>
      <c r="J90" s="3"/>
    </row>
    <row r="91" spans="1:10" ht="45.5" customHeight="1">
      <c r="A91" s="4" t="s">
        <v>2284</v>
      </c>
      <c r="B91" s="4" t="s">
        <v>2285</v>
      </c>
      <c r="C91" s="4"/>
      <c r="D91" s="5" t="s">
        <v>2286</v>
      </c>
      <c r="E91" s="4"/>
      <c r="F91"/>
      <c r="G91" s="6" t="s">
        <v>2287</v>
      </c>
      <c r="H91" s="6" t="s">
        <v>2288</v>
      </c>
      <c r="I91" s="4"/>
      <c r="J91" s="6">
        <f>IF(I91&gt;0,PRODUCT(1400,I91),"")</f>
      </c>
    </row>
    <row r="92" spans="1:10" ht="45.5" customHeight="1">
      <c r="A92" s="4"/>
      <c r="B92" s="4"/>
      <c r="C92" s="4"/>
      <c r="D92" s="7"/>
      <c r="E92" s="4"/>
      <c r="F92"/>
      <c r="G92" s="6" t="s">
        <v>2289</v>
      </c>
      <c r="H92" s="6" t="s">
        <v>2290</v>
      </c>
      <c r="I92" s="4"/>
      <c r="J92" s="6">
        <f>IF(I92&gt;0,PRODUCT(9000,I92),"")</f>
      </c>
    </row>
    <row r="93" spans="1:10" ht="18.5" customHeight="1">
      <c r="A93" s="4" t="s">
        <v>2291</v>
      </c>
      <c r="B93" s="4" t="s">
        <v>2292</v>
      </c>
      <c r="C93" s="4"/>
      <c r="D93" s="5" t="s">
        <v>2293</v>
      </c>
      <c r="E93" s="4"/>
      <c r="F93" t="s">
        <v>2294</v>
      </c>
      <c r="G93" s="6" t="s">
        <v>2295</v>
      </c>
      <c r="H93" s="6" t="s">
        <v>2296</v>
      </c>
      <c r="I93" s="4"/>
      <c r="J93" s="6">
        <f>IF(I93&gt;0,PRODUCT(9200,I93),"")</f>
      </c>
    </row>
    <row r="94" spans="1:10" ht="18.5" customHeight="1">
      <c r="A94" s="4"/>
      <c r="B94" s="4"/>
      <c r="C94" s="4"/>
      <c r="D94" s="7"/>
      <c r="E94" s="4"/>
      <c r="F94"/>
      <c r="G94" s="6" t="s">
        <v>2297</v>
      </c>
      <c r="H94" s="6" t="s">
        <v>2298</v>
      </c>
      <c r="I94" s="4"/>
      <c r="J94" s="6">
        <f>IF(I94&gt;0,PRODUCT(1250,I94),"")</f>
      </c>
    </row>
    <row r="95" spans="1:10" ht="18.5" customHeight="1">
      <c r="A95" s="4"/>
      <c r="B95" s="4"/>
      <c r="C95" s="4"/>
      <c r="D95" s="7"/>
      <c r="E95" s="4"/>
      <c r="F95"/>
      <c r="G95" s="6" t="s">
        <v>2299</v>
      </c>
      <c r="H95" s="6" t="s">
        <v>2300</v>
      </c>
      <c r="I95" s="4"/>
      <c r="J95" s="6">
        <f>IF(I95&gt;0,PRODUCT(4850,I95),"")</f>
      </c>
    </row>
    <row r="96" spans="1:10" ht="23" customHeight="1">
      <c r="A96" s="4" t="s">
        <v>2301</v>
      </c>
      <c r="B96" s="4" t="s">
        <v>2302</v>
      </c>
      <c r="C96" s="4"/>
      <c r="D96" s="5" t="s">
        <v>2303</v>
      </c>
      <c r="E96" s="4"/>
      <c r="F96"/>
      <c r="G96" s="6" t="s">
        <v>2304</v>
      </c>
      <c r="H96" s="6" t="s">
        <v>2305</v>
      </c>
      <c r="I96" s="4"/>
      <c r="J96" s="6">
        <f>IF(I96&gt;0,PRODUCT(1200,I96),"")</f>
      </c>
    </row>
    <row r="97" spans="1:10" ht="23" customHeight="1">
      <c r="A97" s="4"/>
      <c r="B97" s="4"/>
      <c r="C97" s="4"/>
      <c r="D97" s="7"/>
      <c r="E97" s="4"/>
      <c r="F97"/>
      <c r="G97" s="6" t="s">
        <v>2306</v>
      </c>
      <c r="H97" s="6" t="s">
        <v>2307</v>
      </c>
      <c r="I97" s="4"/>
      <c r="J97" s="6">
        <f>IF(I97&gt;0,PRODUCT(12350,I97),"")</f>
      </c>
    </row>
    <row r="98" spans="1:10" ht="23" customHeight="1">
      <c r="A98" s="4"/>
      <c r="B98" s="4"/>
      <c r="C98" s="4"/>
      <c r="D98" s="7"/>
      <c r="E98" s="4"/>
      <c r="F98"/>
      <c r="G98" s="6" t="s">
        <v>2308</v>
      </c>
      <c r="H98" s="6" t="s">
        <v>2309</v>
      </c>
      <c r="I98" s="4"/>
      <c r="J98" s="6">
        <f>IF(I98&gt;0,PRODUCT(4390,I98),"")</f>
      </c>
    </row>
    <row r="99" spans="1:10" s="1" customFormat="1" customHeight="1">
      <c r="A99" s="3" t="s">
        <v>2310</v>
      </c>
      <c r="B99" s="3"/>
      <c r="C99" s="3"/>
      <c r="D99" s="3"/>
      <c r="E99" s="3"/>
      <c r="F99" s="3"/>
      <c r="G99" s="3"/>
      <c r="H99" s="3"/>
      <c r="I99" s="3"/>
      <c r="J99" s="3"/>
    </row>
    <row r="100" spans="1:10" ht="16" customHeight="1">
      <c r="A100" s="4" t="s">
        <v>2311</v>
      </c>
      <c r="B100" s="4"/>
      <c r="C100" s="4"/>
      <c r="D100" s="5" t="s">
        <v>2312</v>
      </c>
      <c r="E100" s="4"/>
      <c r="F100" t="s">
        <v>2313</v>
      </c>
      <c r="G100" s="6" t="s">
        <v>2314</v>
      </c>
      <c r="H100" s="6" t="s">
        <v>2315</v>
      </c>
      <c r="I100" s="4"/>
      <c r="J100" s="6">
        <f>IF(I100&gt;0,PRODUCT(870,I100),"")</f>
      </c>
    </row>
    <row r="101" spans="1:10" ht="16" customHeight="1">
      <c r="A101" s="4"/>
      <c r="B101" s="4"/>
      <c r="C101" s="4"/>
      <c r="D101" s="7"/>
      <c r="E101" s="4"/>
      <c r="F101"/>
      <c r="G101" s="6" t="s">
        <v>2316</v>
      </c>
      <c r="H101" s="6" t="s">
        <v>2317</v>
      </c>
      <c r="I101" s="4"/>
      <c r="J101" s="6">
        <f>IF(I101&gt;0,PRODUCT(7690,I101),"")</f>
      </c>
    </row>
    <row r="102" spans="1:10" ht="16.4" customHeight="1">
      <c r="A102" s="4"/>
      <c r="B102" s="4"/>
      <c r="C102" s="4"/>
      <c r="D102" s="7"/>
      <c r="E102" s="4"/>
      <c r="F102"/>
      <c r="G102" s="6" t="s">
        <v>2318</v>
      </c>
      <c r="H102" s="6" t="s">
        <v>2319</v>
      </c>
      <c r="I102" s="4"/>
      <c r="J102" s="6">
        <f>IF(I102&gt;0,PRODUCT(4100,I102),"")</f>
      </c>
    </row>
    <row r="103" spans="1:10" ht="16" customHeight="1">
      <c r="A103" s="4" t="s">
        <v>2320</v>
      </c>
      <c r="B103" s="4" t="s">
        <v>2321</v>
      </c>
      <c r="C103" s="4"/>
      <c r="D103" s="5" t="s">
        <v>2322</v>
      </c>
      <c r="E103" s="4" t="s">
        <v>2323</v>
      </c>
      <c r="F103"/>
      <c r="G103" s="6" t="s">
        <v>2324</v>
      </c>
      <c r="H103" s="6" t="s">
        <v>2325</v>
      </c>
      <c r="I103" s="4"/>
      <c r="J103" s="6">
        <f>IF(I103&gt;0,PRODUCT(9530,I103),"")</f>
      </c>
    </row>
    <row r="104" spans="1:10" ht="16" customHeight="1">
      <c r="A104" s="4"/>
      <c r="B104" s="4"/>
      <c r="C104" s="4"/>
      <c r="D104" s="7"/>
      <c r="E104" s="4"/>
      <c r="F104"/>
      <c r="G104" s="6" t="s">
        <v>2326</v>
      </c>
      <c r="H104" s="6" t="s">
        <v>2327</v>
      </c>
      <c r="I104" s="4"/>
      <c r="J104" s="6">
        <f>IF(I104&gt;0,PRODUCT(1300,I104),"")</f>
      </c>
    </row>
    <row r="105" spans="1:10" ht="16.4" customHeight="1">
      <c r="A105" s="4"/>
      <c r="B105" s="4"/>
      <c r="C105" s="4"/>
      <c r="D105" s="7"/>
      <c r="E105" s="4"/>
      <c r="F105"/>
      <c r="G105" s="6" t="s">
        <v>2328</v>
      </c>
      <c r="H105" s="6" t="s">
        <v>2329</v>
      </c>
      <c r="I105" s="4"/>
      <c r="J105" s="6">
        <f>IF(I105&gt;0,PRODUCT(5300,I105),"")</f>
      </c>
    </row>
    <row r="106" spans="1:10" ht="16" customHeight="1">
      <c r="A106" s="4" t="s">
        <v>2330</v>
      </c>
      <c r="B106" s="4" t="s">
        <v>2331</v>
      </c>
      <c r="C106" s="4"/>
      <c r="D106" s="5" t="s">
        <v>2332</v>
      </c>
      <c r="E106" s="4" t="s">
        <v>2333</v>
      </c>
      <c r="F106" t="s">
        <v>2334</v>
      </c>
      <c r="G106" s="6" t="s">
        <v>2335</v>
      </c>
      <c r="H106" s="6" t="s">
        <v>2336</v>
      </c>
      <c r="I106" s="4"/>
      <c r="J106" s="6">
        <f>IF(I106&gt;0,PRODUCT(1250,I106),"")</f>
      </c>
    </row>
    <row r="107" spans="1:10" ht="16" customHeight="1">
      <c r="A107" s="4"/>
      <c r="B107" s="4"/>
      <c r="C107" s="4"/>
      <c r="D107" s="7"/>
      <c r="E107" s="4"/>
      <c r="F107"/>
      <c r="G107" s="6" t="s">
        <v>2337</v>
      </c>
      <c r="H107" s="6" t="s">
        <v>2338</v>
      </c>
      <c r="I107" s="4"/>
      <c r="J107" s="6">
        <f>IF(I107&gt;0,PRODUCT(8300,I107),"")</f>
      </c>
    </row>
    <row r="108" spans="1:10" ht="16.4" customHeight="1">
      <c r="A108" s="4"/>
      <c r="B108" s="4"/>
      <c r="C108" s="4"/>
      <c r="D108" s="7"/>
      <c r="E108" s="4"/>
      <c r="F108"/>
      <c r="G108" s="6" t="s">
        <v>2339</v>
      </c>
      <c r="H108" s="6" t="s">
        <v>2340</v>
      </c>
      <c r="I108" s="4"/>
      <c r="J108" s="6">
        <f>IF(I108&gt;0,PRODUCT(4550,I108),"")</f>
      </c>
    </row>
    <row r="109" spans="1:10" ht="18" customHeight="1">
      <c r="A109" s="4" t="s">
        <v>2341</v>
      </c>
      <c r="B109" s="4"/>
      <c r="C109" s="4"/>
      <c r="D109" s="5" t="s">
        <v>2342</v>
      </c>
      <c r="E109" s="4" t="s">
        <v>2343</v>
      </c>
      <c r="F109"/>
      <c r="G109" s="6" t="s">
        <v>2344</v>
      </c>
      <c r="H109" s="6" t="s">
        <v>2345</v>
      </c>
      <c r="I109" s="4"/>
      <c r="J109" s="6">
        <f>IF(I109&gt;0,PRODUCT(920,I109),"")</f>
      </c>
    </row>
    <row r="110" spans="1:10" ht="18" customHeight="1">
      <c r="A110" s="4"/>
      <c r="B110" s="4"/>
      <c r="C110" s="4"/>
      <c r="D110" s="7"/>
      <c r="E110" s="4"/>
      <c r="F110"/>
      <c r="G110" s="6" t="s">
        <v>2346</v>
      </c>
      <c r="H110" s="6" t="s">
        <v>2347</v>
      </c>
      <c r="I110" s="4"/>
      <c r="J110" s="6">
        <f>IF(I110&gt;0,PRODUCT(7700,I110),"")</f>
      </c>
    </row>
    <row r="111" spans="1:10" ht="18" customHeight="1">
      <c r="A111" s="4"/>
      <c r="B111" s="4"/>
      <c r="C111" s="4"/>
      <c r="D111" s="7"/>
      <c r="E111" s="4"/>
      <c r="F111"/>
      <c r="G111" s="6" t="s">
        <v>2348</v>
      </c>
      <c r="H111" s="6" t="s">
        <v>2349</v>
      </c>
      <c r="I111" s="4"/>
      <c r="J111" s="6">
        <f>IF(I111&gt;0,PRODUCT(10310,I111),"")</f>
      </c>
    </row>
    <row r="112" spans="1:10" ht="18" customHeight="1">
      <c r="A112" s="4"/>
      <c r="B112" s="4"/>
      <c r="C112" s="4"/>
      <c r="D112" s="7"/>
      <c r="E112" s="4"/>
      <c r="F112"/>
      <c r="G112" s="6" t="s">
        <v>2350</v>
      </c>
      <c r="H112" s="6" t="s">
        <v>2351</v>
      </c>
      <c r="I112" s="4"/>
      <c r="J112" s="6">
        <f>IF(I112&gt;0,PRODUCT(4170,I112),"")</f>
      </c>
    </row>
    <row r="113" spans="1:10" ht="19" customHeight="1">
      <c r="A113" s="4"/>
      <c r="B113" s="4"/>
      <c r="C113" s="4"/>
      <c r="D113" s="7"/>
      <c r="E113" s="4"/>
      <c r="F113"/>
      <c r="G113" s="6" t="s">
        <v>2352</v>
      </c>
      <c r="H113" s="6" t="s">
        <v>2353</v>
      </c>
      <c r="I113" s="4"/>
      <c r="J113" s="6">
        <f>IF(I113&gt;0,PRODUCT(540,I113),"")</f>
      </c>
    </row>
    <row r="114" spans="1:10" s="1" customFormat="1" customHeight="1">
      <c r="A114" s="3" t="s">
        <v>2354</v>
      </c>
      <c r="B114" s="3"/>
      <c r="C114" s="3"/>
      <c r="D114" s="3"/>
      <c r="E114" s="3"/>
      <c r="F114" s="3"/>
      <c r="G114" s="3"/>
      <c r="H114" s="3"/>
      <c r="I114" s="3"/>
      <c r="J114" s="3"/>
    </row>
    <row r="115" spans="1:10" ht="23" customHeight="1">
      <c r="A115" s="4" t="s">
        <v>2355</v>
      </c>
      <c r="B115" s="4" t="s">
        <v>2356</v>
      </c>
      <c r="C115" s="4"/>
      <c r="D115" s="5" t="s">
        <v>2357</v>
      </c>
      <c r="E115" s="4"/>
      <c r="F115" t="s">
        <v>2358</v>
      </c>
      <c r="G115" s="6" t="s">
        <v>2359</v>
      </c>
      <c r="H115" s="6" t="s">
        <v>2360</v>
      </c>
      <c r="I115" s="4"/>
      <c r="J115" s="6">
        <f>IF(I115&gt;0,PRODUCT(1450,I115),"")</f>
      </c>
    </row>
    <row r="116" spans="1:10" ht="23" customHeight="1">
      <c r="A116" s="4"/>
      <c r="B116" s="4"/>
      <c r="C116" s="4"/>
      <c r="D116" s="7"/>
      <c r="E116" s="4"/>
      <c r="F116"/>
      <c r="G116" s="6" t="s">
        <v>2361</v>
      </c>
      <c r="H116" s="6" t="s">
        <v>2362</v>
      </c>
      <c r="I116" s="4"/>
      <c r="J116" s="6">
        <f>IF(I116&gt;0,PRODUCT(2930,I116),"")</f>
      </c>
    </row>
    <row r="117" spans="1:10" ht="23" customHeight="1">
      <c r="A117" s="4"/>
      <c r="B117" s="4"/>
      <c r="C117" s="4"/>
      <c r="D117" s="7"/>
      <c r="E117" s="4"/>
      <c r="F117"/>
      <c r="G117" s="6" t="s">
        <v>2363</v>
      </c>
      <c r="H117" s="6" t="s">
        <v>2364</v>
      </c>
      <c r="I117" s="4"/>
      <c r="J117" s="6">
        <f>IF(I117&gt;0,PRODUCT(1015,I117),"")</f>
      </c>
    </row>
    <row r="118" spans="1:10" ht="23" customHeight="1">
      <c r="A118" s="4"/>
      <c r="B118" s="4"/>
      <c r="C118" s="4"/>
      <c r="D118" s="7"/>
      <c r="E118" s="4"/>
      <c r="F118"/>
      <c r="G118" s="6" t="s">
        <v>2365</v>
      </c>
      <c r="H118" s="6" t="s">
        <v>2366</v>
      </c>
      <c r="I118" s="4"/>
      <c r="J118" s="6">
        <f>IF(I118&gt;0,PRODUCT(1450,I118),"")</f>
      </c>
    </row>
    <row r="119" spans="1:10" ht="23" customHeight="1">
      <c r="A119" s="4" t="s">
        <v>2367</v>
      </c>
      <c r="B119" s="4" t="s">
        <v>2368</v>
      </c>
      <c r="C119" s="4"/>
      <c r="D119" s="5" t="s">
        <v>2369</v>
      </c>
      <c r="E119" s="4"/>
      <c r="F119" t="s">
        <v>2370</v>
      </c>
      <c r="G119" s="6" t="s">
        <v>2371</v>
      </c>
      <c r="H119" s="6" t="s">
        <v>2372</v>
      </c>
      <c r="I119" s="4"/>
      <c r="J119" s="6">
        <f>IF(I119&gt;0,PRODUCT(1400,I119),"")</f>
      </c>
    </row>
    <row r="120" spans="1:10" ht="23" customHeight="1">
      <c r="A120" s="4"/>
      <c r="B120" s="4"/>
      <c r="C120" s="4"/>
      <c r="D120" s="7"/>
      <c r="E120" s="4"/>
      <c r="F120"/>
      <c r="G120" s="6" t="s">
        <v>2373</v>
      </c>
      <c r="H120" s="6" t="s">
        <v>2374</v>
      </c>
      <c r="I120" s="4"/>
      <c r="J120" s="6">
        <f>IF(I120&gt;0,PRODUCT(2650,I120),"")</f>
      </c>
    </row>
    <row r="121" spans="1:10" ht="23" customHeight="1">
      <c r="A121" s="4"/>
      <c r="B121" s="4"/>
      <c r="C121" s="4"/>
      <c r="D121" s="7"/>
      <c r="E121" s="4"/>
      <c r="F121"/>
      <c r="G121" s="6" t="s">
        <v>2375</v>
      </c>
      <c r="H121" s="6" t="s">
        <v>2376</v>
      </c>
      <c r="I121" s="4"/>
      <c r="J121" s="6">
        <f>IF(I121&gt;0,PRODUCT(895,I121),"")</f>
      </c>
    </row>
    <row r="122" spans="1:10" ht="23" customHeight="1">
      <c r="A122" s="4"/>
      <c r="B122" s="4"/>
      <c r="C122" s="4"/>
      <c r="D122" s="7"/>
      <c r="E122" s="4"/>
      <c r="F122"/>
      <c r="G122" s="6" t="s">
        <v>2377</v>
      </c>
      <c r="H122" s="6" t="s">
        <v>2378</v>
      </c>
      <c r="I122" s="4"/>
      <c r="J122" s="6">
        <f>IF(I122&gt;0,PRODUCT(1400,I122),"")</f>
      </c>
    </row>
    <row r="123" spans="1:10" s="1" customFormat="1" customHeight="1">
      <c r="A123" s="3" t="s">
        <v>2379</v>
      </c>
      <c r="B123" s="3"/>
      <c r="C123" s="3"/>
      <c r="D123" s="3"/>
      <c r="E123" s="3"/>
      <c r="F123" s="3"/>
      <c r="G123" s="3"/>
      <c r="H123" s="3"/>
      <c r="I123" s="3"/>
      <c r="J123" s="3"/>
    </row>
    <row r="124" spans="1:10" ht="45.5" customHeight="1">
      <c r="A124" s="4" t="s">
        <v>2380</v>
      </c>
      <c r="B124" s="4" t="s">
        <v>2381</v>
      </c>
      <c r="C124" s="4"/>
      <c r="D124" s="5" t="s">
        <v>2382</v>
      </c>
      <c r="E124" s="4" t="s">
        <v>2383</v>
      </c>
      <c r="F124"/>
      <c r="G124" s="6" t="s">
        <v>2384</v>
      </c>
      <c r="H124" s="6" t="s">
        <v>2385</v>
      </c>
      <c r="I124" s="4"/>
      <c r="J124" s="6">
        <f>IF(I124&gt;0,PRODUCT(1150,I124),"")</f>
      </c>
    </row>
    <row r="125" spans="1:10" ht="45.5" customHeight="1">
      <c r="A125" s="4"/>
      <c r="B125" s="4"/>
      <c r="C125" s="4"/>
      <c r="D125" s="7"/>
      <c r="E125" s="4"/>
      <c r="F125"/>
      <c r="G125" s="6" t="s">
        <v>2386</v>
      </c>
      <c r="H125" s="6" t="s">
        <v>2387</v>
      </c>
      <c r="I125" s="4"/>
      <c r="J125" s="6">
        <f>IF(I125&gt;0,PRODUCT(3400,I125),"")</f>
      </c>
    </row>
    <row r="126" spans="1:10" ht="18" customHeight="1">
      <c r="A126" s="4" t="s">
        <v>2388</v>
      </c>
      <c r="B126" s="4" t="s">
        <v>2389</v>
      </c>
      <c r="C126" s="4"/>
      <c r="D126" s="5" t="s">
        <v>2390</v>
      </c>
      <c r="E126" s="4" t="s">
        <v>2391</v>
      </c>
      <c r="F126" t="s">
        <v>2392</v>
      </c>
      <c r="G126" s="6" t="s">
        <v>2393</v>
      </c>
      <c r="H126" s="6" t="s">
        <v>2394</v>
      </c>
      <c r="I126" s="4"/>
      <c r="J126" s="6">
        <f>IF(I126&gt;0,PRODUCT(195,I126),"")</f>
      </c>
    </row>
    <row r="127" spans="1:10" ht="18" customHeight="1">
      <c r="A127" s="4"/>
      <c r="B127" s="4"/>
      <c r="C127" s="4"/>
      <c r="D127" s="7"/>
      <c r="E127" s="4"/>
      <c r="F127"/>
      <c r="G127" s="6" t="s">
        <v>2395</v>
      </c>
      <c r="H127" s="6" t="s">
        <v>2396</v>
      </c>
      <c r="I127" s="4"/>
      <c r="J127" s="6">
        <f>IF(I127&gt;0,PRODUCT(340,I127),"")</f>
      </c>
    </row>
    <row r="128" spans="1:10" ht="18" customHeight="1">
      <c r="A128" s="4"/>
      <c r="B128" s="4"/>
      <c r="C128" s="4"/>
      <c r="D128" s="7"/>
      <c r="E128" s="4"/>
      <c r="F128"/>
      <c r="G128" s="6" t="s">
        <v>2397</v>
      </c>
      <c r="H128" s="6" t="s">
        <v>2398</v>
      </c>
      <c r="I128" s="4"/>
      <c r="J128" s="6">
        <f>IF(I128&gt;0,PRODUCT(1100,I128),"")</f>
      </c>
    </row>
    <row r="129" spans="1:10" ht="18" customHeight="1">
      <c r="A129" s="4"/>
      <c r="B129" s="4"/>
      <c r="C129" s="4"/>
      <c r="D129" s="7"/>
      <c r="E129" s="4"/>
      <c r="F129"/>
      <c r="G129" s="6" t="s">
        <v>2399</v>
      </c>
      <c r="H129" s="6" t="s">
        <v>2400</v>
      </c>
      <c r="I129" s="4"/>
      <c r="J129" s="6">
        <f>IF(I129&gt;0,PRODUCT(1100,I129),"")</f>
      </c>
    </row>
    <row r="130" spans="1:10" ht="19" customHeight="1">
      <c r="A130" s="4"/>
      <c r="B130" s="4"/>
      <c r="C130" s="4"/>
      <c r="D130" s="7"/>
      <c r="E130" s="4"/>
      <c r="F130"/>
      <c r="G130" s="6" t="s">
        <v>2401</v>
      </c>
      <c r="H130" s="6" t="s">
        <v>2402</v>
      </c>
      <c r="I130" s="4"/>
      <c r="J130" s="6">
        <f>IF(I130&gt;0,PRODUCT(3250,I130),"")</f>
      </c>
    </row>
    <row r="131" spans="1:10" s="1" customFormat="1" customHeight="1">
      <c r="A131" s="3" t="s">
        <v>2403</v>
      </c>
      <c r="B131" s="3"/>
      <c r="C131" s="3"/>
      <c r="D131" s="3"/>
      <c r="E131" s="3"/>
      <c r="F131" s="3"/>
      <c r="G131" s="3"/>
      <c r="H131" s="3"/>
      <c r="I131" s="3"/>
      <c r="J131" s="3"/>
    </row>
    <row r="132" spans="1:10" s="1" customFormat="1" customHeight="1">
      <c r="A132" s="3" t="s">
        <v>2404</v>
      </c>
      <c r="B132" s="3"/>
      <c r="C132" s="3"/>
      <c r="D132" s="3"/>
      <c r="E132" s="3"/>
      <c r="F132" s="3"/>
      <c r="G132" s="3"/>
      <c r="H132" s="3"/>
      <c r="I132" s="3"/>
      <c r="J132" s="3"/>
    </row>
    <row r="133" spans="1:10" ht="30.5" customHeight="1">
      <c r="A133" s="4" t="s">
        <v>2405</v>
      </c>
      <c r="B133" s="4" t="s">
        <v>2406</v>
      </c>
      <c r="C133" s="4"/>
      <c r="D133" s="5" t="s">
        <v>2407</v>
      </c>
      <c r="E133" s="4" t="s">
        <v>2408</v>
      </c>
      <c r="F133"/>
      <c r="G133" s="6" t="s">
        <v>2409</v>
      </c>
      <c r="H133" s="6" t="s">
        <v>2410</v>
      </c>
      <c r="I133" s="4"/>
      <c r="J133" s="6">
        <f>IF(I133&gt;0,PRODUCT(2625,I133),"")</f>
      </c>
    </row>
    <row r="134" spans="1:10" ht="30.5" customHeight="1">
      <c r="A134" s="4"/>
      <c r="B134" s="4"/>
      <c r="C134" s="4"/>
      <c r="D134" s="7"/>
      <c r="E134" s="4"/>
      <c r="F134"/>
      <c r="G134" s="6" t="s">
        <v>2411</v>
      </c>
      <c r="H134" s="6" t="s">
        <v>2412</v>
      </c>
      <c r="I134" s="4"/>
      <c r="J134" s="6">
        <f>IF(I134&gt;0,PRODUCT(615,I134),"")</f>
      </c>
    </row>
    <row r="135" spans="1:10" ht="30.5" customHeight="1">
      <c r="A135" s="4"/>
      <c r="B135" s="4"/>
      <c r="C135" s="4"/>
      <c r="D135" s="7"/>
      <c r="E135" s="4"/>
      <c r="F135"/>
      <c r="G135" s="6" t="s">
        <v>2413</v>
      </c>
      <c r="H135" s="6" t="s">
        <v>2414</v>
      </c>
      <c r="I135" s="4"/>
      <c r="J135" s="6">
        <f>IF(I135&gt;0,PRODUCT(1435,I135),"")</f>
      </c>
    </row>
    <row r="136" spans="1:10" ht="30.5" customHeight="1">
      <c r="A136" s="4" t="s">
        <v>2415</v>
      </c>
      <c r="B136" s="4" t="s">
        <v>2416</v>
      </c>
      <c r="C136" s="4"/>
      <c r="D136" s="5" t="s">
        <v>2417</v>
      </c>
      <c r="E136" s="4" t="s">
        <v>2418</v>
      </c>
      <c r="F136"/>
      <c r="G136" s="6" t="s">
        <v>2419</v>
      </c>
      <c r="H136" s="6" t="s">
        <v>2420</v>
      </c>
      <c r="I136" s="4"/>
      <c r="J136" s="6">
        <f>IF(I136&gt;0,PRODUCT(2625,I136),"")</f>
      </c>
    </row>
    <row r="137" spans="1:10" ht="30.5" customHeight="1">
      <c r="A137" s="4"/>
      <c r="B137" s="4"/>
      <c r="C137" s="4"/>
      <c r="D137" s="7"/>
      <c r="E137" s="4"/>
      <c r="F137"/>
      <c r="G137" s="6" t="s">
        <v>2421</v>
      </c>
      <c r="H137" s="6" t="s">
        <v>2422</v>
      </c>
      <c r="I137" s="4"/>
      <c r="J137" s="6">
        <f>IF(I137&gt;0,PRODUCT(615,I137),"")</f>
      </c>
    </row>
    <row r="138" spans="1:10" ht="30.5" customHeight="1">
      <c r="A138" s="4"/>
      <c r="B138" s="4"/>
      <c r="C138" s="4"/>
      <c r="D138" s="7"/>
      <c r="E138" s="4"/>
      <c r="F138"/>
      <c r="G138" s="6" t="s">
        <v>2423</v>
      </c>
      <c r="H138" s="6" t="s">
        <v>2424</v>
      </c>
      <c r="I138" s="4"/>
      <c r="J138" s="6">
        <f>IF(I138&gt;0,PRODUCT(1435,I138),"")</f>
      </c>
    </row>
    <row r="139" spans="1:10" ht="30.5" customHeight="1">
      <c r="A139" s="4" t="s">
        <v>2425</v>
      </c>
      <c r="B139" s="4" t="s">
        <v>2426</v>
      </c>
      <c r="C139" s="4"/>
      <c r="D139" s="5" t="s">
        <v>2427</v>
      </c>
      <c r="E139" s="4" t="s">
        <v>2428</v>
      </c>
      <c r="F139"/>
      <c r="G139" s="6" t="s">
        <v>2429</v>
      </c>
      <c r="H139" s="6" t="s">
        <v>2430</v>
      </c>
      <c r="I139" s="4"/>
      <c r="J139" s="6">
        <f>IF(I139&gt;0,PRODUCT(2625,I139),"")</f>
      </c>
    </row>
    <row r="140" spans="1:10" ht="30.5" customHeight="1">
      <c r="A140" s="4"/>
      <c r="B140" s="4"/>
      <c r="C140" s="4"/>
      <c r="D140" s="7"/>
      <c r="E140" s="4"/>
      <c r="F140"/>
      <c r="G140" s="6" t="s">
        <v>2431</v>
      </c>
      <c r="H140" s="6" t="s">
        <v>2432</v>
      </c>
      <c r="I140" s="4"/>
      <c r="J140" s="6">
        <f>IF(I140&gt;0,PRODUCT(615,I140),"")</f>
      </c>
    </row>
    <row r="141" spans="1:10" ht="30.5" customHeight="1">
      <c r="A141" s="4"/>
      <c r="B141" s="4"/>
      <c r="C141" s="4"/>
      <c r="D141" s="7"/>
      <c r="E141" s="4"/>
      <c r="F141"/>
      <c r="G141" s="6" t="s">
        <v>2433</v>
      </c>
      <c r="H141" s="6" t="s">
        <v>2434</v>
      </c>
      <c r="I141" s="4"/>
      <c r="J141" s="6">
        <f>IF(I141&gt;0,PRODUCT(1435,I141),"")</f>
      </c>
    </row>
    <row r="142" spans="1:10" s="1" customFormat="1" customHeight="1">
      <c r="A142" s="3" t="s">
        <v>2435</v>
      </c>
      <c r="B142" s="3"/>
      <c r="C142" s="3"/>
      <c r="D142" s="3"/>
      <c r="E142" s="3"/>
      <c r="F142" s="3"/>
      <c r="G142" s="3"/>
      <c r="H142" s="3"/>
      <c r="I142" s="3"/>
      <c r="J142" s="3"/>
    </row>
    <row r="143" spans="1:10" customHeight="1">
      <c r="A143" s="4" t="s">
        <v>2436</v>
      </c>
      <c r="B143" s="4" t="s">
        <v>2437</v>
      </c>
      <c r="C143" s="4"/>
      <c r="D143" s="5" t="s">
        <v>2438</v>
      </c>
      <c r="E143" s="4"/>
      <c r="F143" t="s">
        <v>2439</v>
      </c>
      <c r="G143" s="6" t="s">
        <v>2440</v>
      </c>
      <c r="H143" s="6" t="s">
        <v>2441</v>
      </c>
      <c r="I143" s="4"/>
      <c r="J143" s="6">
        <f>IF(I143&gt;0,PRODUCT(6575,I143),"")</f>
      </c>
    </row>
    <row r="144" spans="1:10" customHeight="1">
      <c r="A144" s="4"/>
      <c r="B144" s="4"/>
      <c r="C144" s="4"/>
      <c r="D144" s="7"/>
      <c r="E144" s="4"/>
      <c r="F144"/>
      <c r="G144" s="6" t="s">
        <v>2442</v>
      </c>
      <c r="H144" s="6" t="s">
        <v>2443</v>
      </c>
      <c r="I144" s="4"/>
      <c r="J144" s="6">
        <f>IF(I144&gt;0,PRODUCT(795,I144),"")</f>
      </c>
    </row>
    <row r="145" spans="1:10" customHeight="1">
      <c r="A145" s="4"/>
      <c r="B145" s="4"/>
      <c r="C145" s="4"/>
      <c r="D145" s="7"/>
      <c r="E145" s="4"/>
      <c r="F145"/>
      <c r="G145" s="6" t="s">
        <v>2444</v>
      </c>
      <c r="H145" s="6" t="s">
        <v>2445</v>
      </c>
      <c r="I145" s="4"/>
      <c r="J145" s="6">
        <f>IF(I145&gt;0,PRODUCT(12215,I145),"")</f>
      </c>
    </row>
    <row r="146" spans="1:10" customHeight="1">
      <c r="A146" s="4"/>
      <c r="B146" s="4"/>
      <c r="C146" s="4"/>
      <c r="D146" s="7"/>
      <c r="E146" s="4"/>
      <c r="F146"/>
      <c r="G146" s="6" t="s">
        <v>2446</v>
      </c>
      <c r="H146" s="6" t="s">
        <v>2447</v>
      </c>
      <c r="I146" s="4"/>
      <c r="J146" s="6">
        <f>IF(I146&gt;0,PRODUCT(3625,I146),"")</f>
      </c>
    </row>
    <row r="147" spans="1:10" customHeight="1">
      <c r="A147" s="4"/>
      <c r="B147" s="4"/>
      <c r="C147" s="4"/>
      <c r="D147" s="7"/>
      <c r="E147" s="4"/>
      <c r="F147"/>
      <c r="G147" s="6" t="s">
        <v>2448</v>
      </c>
      <c r="H147" s="6" t="s">
        <v>2449</v>
      </c>
      <c r="I147" s="4"/>
      <c r="J147" s="6">
        <f>IF(I147&gt;0,PRODUCT(490,I147),"")</f>
      </c>
    </row>
    <row r="148" spans="1:10" ht="18" customHeight="1">
      <c r="A148" s="4" t="s">
        <v>2450</v>
      </c>
      <c r="B148" s="4"/>
      <c r="C148" s="4"/>
      <c r="D148" s="5" t="s">
        <v>2451</v>
      </c>
      <c r="E148" s="4"/>
      <c r="F148" t="s">
        <v>2452</v>
      </c>
      <c r="G148" s="6" t="s">
        <v>2453</v>
      </c>
      <c r="H148" s="6" t="s">
        <v>2454</v>
      </c>
      <c r="I148" s="4"/>
      <c r="J148" s="6">
        <f>IF(I148&gt;0,PRODUCT(830,I148),"")</f>
      </c>
    </row>
    <row r="149" spans="1:10" ht="18" customHeight="1">
      <c r="A149" s="4"/>
      <c r="B149" s="4"/>
      <c r="C149" s="4"/>
      <c r="D149" s="7"/>
      <c r="E149" s="4"/>
      <c r="F149"/>
      <c r="G149" s="6" t="s">
        <v>2455</v>
      </c>
      <c r="H149" s="6" t="s">
        <v>2456</v>
      </c>
      <c r="I149" s="4"/>
      <c r="J149" s="6">
        <f>IF(I149&gt;0,PRODUCT(6675,I149),"")</f>
      </c>
    </row>
    <row r="150" spans="1:10" ht="18" customHeight="1">
      <c r="A150" s="4"/>
      <c r="B150" s="4"/>
      <c r="C150" s="4"/>
      <c r="D150" s="7"/>
      <c r="E150" s="4"/>
      <c r="F150"/>
      <c r="G150" s="6" t="s">
        <v>2457</v>
      </c>
      <c r="H150" s="6" t="s">
        <v>2458</v>
      </c>
      <c r="I150" s="4"/>
      <c r="J150" s="6">
        <f>IF(I150&gt;0,PRODUCT(490,I150),"")</f>
      </c>
    </row>
    <row r="151" spans="1:10" ht="18" customHeight="1">
      <c r="A151" s="4"/>
      <c r="B151" s="4"/>
      <c r="C151" s="4"/>
      <c r="D151" s="7"/>
      <c r="E151" s="4"/>
      <c r="F151"/>
      <c r="G151" s="6" t="s">
        <v>2459</v>
      </c>
      <c r="H151" s="6" t="s">
        <v>2460</v>
      </c>
      <c r="I151" s="4"/>
      <c r="J151" s="6">
        <f>IF(I151&gt;0,PRODUCT(3630,I151),"")</f>
      </c>
    </row>
    <row r="152" spans="1:10" ht="19" customHeight="1">
      <c r="A152" s="4"/>
      <c r="B152" s="4"/>
      <c r="C152" s="4"/>
      <c r="D152" s="7"/>
      <c r="E152" s="4"/>
      <c r="F152"/>
      <c r="G152" s="6" t="s">
        <v>2461</v>
      </c>
      <c r="H152" s="6" t="s">
        <v>2462</v>
      </c>
      <c r="I152" s="4"/>
      <c r="J152" s="6">
        <f>IF(I152&gt;0,PRODUCT(490,I152),"")</f>
      </c>
    </row>
    <row r="153" spans="1:10" s="1" customFormat="1" customHeight="1">
      <c r="A153" s="3" t="s">
        <v>2463</v>
      </c>
      <c r="B153" s="3"/>
      <c r="C153" s="3"/>
      <c r="D153" s="3"/>
      <c r="E153" s="3"/>
      <c r="F153" s="3"/>
      <c r="G153" s="3"/>
      <c r="H153" s="3"/>
      <c r="I153" s="3"/>
      <c r="J153" s="3"/>
    </row>
    <row r="154" spans="1:10" ht="30.5" customHeight="1">
      <c r="A154" s="4" t="s">
        <v>2464</v>
      </c>
      <c r="B154" s="4" t="s">
        <v>2465</v>
      </c>
      <c r="C154" s="4"/>
      <c r="D154" s="5" t="s">
        <v>2466</v>
      </c>
      <c r="E154" s="4" t="s">
        <v>2467</v>
      </c>
      <c r="F154"/>
      <c r="G154" s="6" t="s">
        <v>2468</v>
      </c>
      <c r="H154" s="6" t="s">
        <v>2469</v>
      </c>
      <c r="I154" s="4"/>
      <c r="J154" s="6">
        <f>IF(I154&gt;0,PRODUCT(1415,I154),"")</f>
      </c>
    </row>
    <row r="155" spans="1:10" ht="30.5" customHeight="1">
      <c r="A155" s="4"/>
      <c r="B155" s="4"/>
      <c r="C155" s="4"/>
      <c r="D155" s="7"/>
      <c r="E155" s="4"/>
      <c r="F155"/>
      <c r="G155" s="6" t="s">
        <v>2470</v>
      </c>
      <c r="H155" s="6" t="s">
        <v>2471</v>
      </c>
      <c r="I155" s="4"/>
      <c r="J155" s="6">
        <f>IF(I155&gt;0,PRODUCT(240,I155),"")</f>
      </c>
    </row>
    <row r="156" spans="1:10" ht="30.5" customHeight="1">
      <c r="A156" s="4"/>
      <c r="B156" s="4"/>
      <c r="C156" s="4"/>
      <c r="D156" s="7"/>
      <c r="E156" s="4"/>
      <c r="F156"/>
      <c r="G156" s="6" t="s">
        <v>2472</v>
      </c>
      <c r="H156" s="6" t="s">
        <v>2473</v>
      </c>
      <c r="I156" s="4"/>
      <c r="J156" s="6">
        <f>IF(I156&gt;0,PRODUCT(765,I156),"")</f>
      </c>
    </row>
    <row r="157" spans="1:10" ht="30.5" customHeight="1">
      <c r="A157" s="4" t="s">
        <v>2474</v>
      </c>
      <c r="B157" s="4" t="s">
        <v>2475</v>
      </c>
      <c r="C157" s="4"/>
      <c r="D157" s="5" t="s">
        <v>2476</v>
      </c>
      <c r="E157" s="4"/>
      <c r="F157"/>
      <c r="G157" s="6" t="s">
        <v>2477</v>
      </c>
      <c r="H157" s="6" t="s">
        <v>2478</v>
      </c>
      <c r="I157" s="4"/>
      <c r="J157" s="6">
        <f>IF(I157&gt;0,PRODUCT(265,I157),"")</f>
      </c>
    </row>
    <row r="158" spans="1:10" ht="30.5" customHeight="1">
      <c r="A158" s="4"/>
      <c r="B158" s="4"/>
      <c r="C158" s="4"/>
      <c r="D158" s="7"/>
      <c r="E158" s="4"/>
      <c r="F158"/>
      <c r="G158" s="6" t="s">
        <v>2479</v>
      </c>
      <c r="H158" s="6" t="s">
        <v>2480</v>
      </c>
      <c r="I158" s="4"/>
      <c r="J158" s="6">
        <f>IF(I158&gt;0,PRODUCT(265,I158),"")</f>
      </c>
    </row>
    <row r="159" spans="1:10" ht="30.5" customHeight="1">
      <c r="A159" s="4"/>
      <c r="B159" s="4"/>
      <c r="C159" s="4"/>
      <c r="D159" s="7"/>
      <c r="E159" s="4"/>
      <c r="F159"/>
      <c r="G159" s="6" t="s">
        <v>2481</v>
      </c>
      <c r="H159" s="6" t="s">
        <v>2482</v>
      </c>
      <c r="I159" s="4"/>
      <c r="J159" s="6">
        <f>IF(I159&gt;0,PRODUCT(1600,I159),"")</f>
      </c>
    </row>
    <row r="160" spans="1:10" ht="45.5" customHeight="1">
      <c r="A160" s="4" t="s">
        <v>2483</v>
      </c>
      <c r="B160" s="4" t="s">
        <v>2484</v>
      </c>
      <c r="C160" s="4"/>
      <c r="D160" s="5" t="s">
        <v>2485</v>
      </c>
      <c r="E160" s="4" t="s">
        <v>2486</v>
      </c>
      <c r="F160" t="s">
        <v>2487</v>
      </c>
      <c r="G160" s="6" t="s">
        <v>2488</v>
      </c>
      <c r="H160" s="6" t="s">
        <v>2489</v>
      </c>
      <c r="I160" s="4"/>
      <c r="J160" s="6">
        <f>IF(I160&gt;0,PRODUCT(465,I160),"")</f>
      </c>
    </row>
    <row r="161" spans="1:10" ht="45.5" customHeight="1">
      <c r="A161" s="4"/>
      <c r="B161" s="4"/>
      <c r="C161" s="4"/>
      <c r="D161" s="7"/>
      <c r="E161" s="4"/>
      <c r="F161"/>
      <c r="G161" s="6" t="s">
        <v>2490</v>
      </c>
      <c r="H161" s="6" t="s">
        <v>2491</v>
      </c>
      <c r="I161" s="4"/>
      <c r="J161" s="6">
        <f>IF(I161&gt;0,PRODUCT(965,I161),"")</f>
      </c>
    </row>
    <row r="162" spans="1:10" ht="45.5" customHeight="1">
      <c r="A162" s="4" t="s">
        <v>2492</v>
      </c>
      <c r="B162" s="4" t="s">
        <v>2493</v>
      </c>
      <c r="C162" s="4"/>
      <c r="D162" s="5" t="s">
        <v>2494</v>
      </c>
      <c r="E162" s="4" t="s">
        <v>2495</v>
      </c>
      <c r="F162" t="s">
        <v>2496</v>
      </c>
      <c r="G162" s="6" t="s">
        <v>2497</v>
      </c>
      <c r="H162" s="6" t="s">
        <v>2498</v>
      </c>
      <c r="I162" s="4"/>
      <c r="J162" s="6">
        <f>IF(I162&gt;0,PRODUCT(600,I162),"")</f>
      </c>
    </row>
    <row r="163" spans="1:10" ht="45.5" customHeight="1">
      <c r="A163" s="4"/>
      <c r="B163" s="4"/>
      <c r="C163" s="4"/>
      <c r="D163" s="7"/>
      <c r="E163" s="4"/>
      <c r="F163"/>
      <c r="G163" s="6" t="s">
        <v>2499</v>
      </c>
      <c r="H163" s="6" t="s">
        <v>2500</v>
      </c>
      <c r="I163" s="4"/>
      <c r="J163" s="6">
        <f>IF(I163&gt;0,PRODUCT(1275,I163),"")</f>
      </c>
    </row>
    <row r="164" spans="1:10" ht="45.5" customHeight="1">
      <c r="A164" s="4" t="s">
        <v>2501</v>
      </c>
      <c r="B164" s="4" t="s">
        <v>2502</v>
      </c>
      <c r="C164" s="4"/>
      <c r="D164" s="5" t="s">
        <v>2503</v>
      </c>
      <c r="E164" s="4" t="s">
        <v>2504</v>
      </c>
      <c r="F164"/>
      <c r="G164" s="6" t="s">
        <v>2505</v>
      </c>
      <c r="H164" s="6" t="s">
        <v>2506</v>
      </c>
      <c r="I164" s="4"/>
      <c r="J164" s="6">
        <f>IF(I164&gt;0,PRODUCT(570,I164),"")</f>
      </c>
    </row>
    <row r="165" spans="1:10" ht="45.5" customHeight="1">
      <c r="A165" s="4"/>
      <c r="B165" s="4"/>
      <c r="C165" s="4"/>
      <c r="D165" s="7"/>
      <c r="E165" s="4"/>
      <c r="F165"/>
      <c r="G165" s="6" t="s">
        <v>2507</v>
      </c>
      <c r="H165" s="6" t="s">
        <v>2508</v>
      </c>
      <c r="I165" s="4"/>
      <c r="J165" s="6">
        <f>IF(I165&gt;0,PRODUCT(1215,I165),"")</f>
      </c>
    </row>
    <row r="166" spans="1:10" s="1" customFormat="1" customHeight="1">
      <c r="A166" s="3" t="s">
        <v>2509</v>
      </c>
      <c r="B166" s="3"/>
      <c r="C166" s="3"/>
      <c r="D166" s="3"/>
      <c r="E166" s="3"/>
      <c r="F166" s="3"/>
      <c r="G166" s="3"/>
      <c r="H166" s="3"/>
      <c r="I166" s="3"/>
      <c r="J166" s="3"/>
    </row>
    <row r="167" spans="1:10" ht="15.5" customHeight="1">
      <c r="A167" s="4" t="s">
        <v>2510</v>
      </c>
      <c r="B167" s="4" t="s">
        <v>2511</v>
      </c>
      <c r="C167" s="4"/>
      <c r="D167" s="5" t="s">
        <v>2512</v>
      </c>
      <c r="E167" s="4"/>
      <c r="F167"/>
      <c r="G167" s="6" t="s">
        <v>2513</v>
      </c>
      <c r="H167" s="6" t="s">
        <v>2514</v>
      </c>
      <c r="I167" s="4"/>
      <c r="J167" s="6">
        <f>IF(I167&gt;0,PRODUCT(1750,I167),"")</f>
      </c>
    </row>
    <row r="168" spans="1:10" ht="15.5" customHeight="1">
      <c r="A168" s="4"/>
      <c r="B168" s="4"/>
      <c r="C168" s="4"/>
      <c r="D168" s="7"/>
      <c r="E168" s="4"/>
      <c r="F168"/>
      <c r="G168" s="6" t="s">
        <v>2515</v>
      </c>
      <c r="H168" s="6" t="s">
        <v>2516</v>
      </c>
      <c r="I168" s="4"/>
      <c r="J168" s="6">
        <f>IF(I168&gt;0,PRODUCT(4050,I168),"")</f>
      </c>
    </row>
    <row r="169" spans="1:10" ht="15.5" customHeight="1">
      <c r="A169" s="4"/>
      <c r="B169" s="4"/>
      <c r="C169" s="4"/>
      <c r="D169" s="7"/>
      <c r="E169" s="4"/>
      <c r="F169"/>
      <c r="G169" s="6" t="s">
        <v>2517</v>
      </c>
      <c r="H169" s="6" t="s">
        <v>2518</v>
      </c>
      <c r="I169" s="4"/>
      <c r="J169" s="6">
        <f>IF(I169&gt;0,PRODUCT(1100,I169),"")</f>
      </c>
    </row>
    <row r="170" spans="1:10" ht="15.5" customHeight="1">
      <c r="A170" s="4"/>
      <c r="B170" s="4"/>
      <c r="C170" s="4"/>
      <c r="D170" s="7"/>
      <c r="E170" s="4"/>
      <c r="F170"/>
      <c r="G170" s="6" t="s">
        <v>2519</v>
      </c>
      <c r="H170" s="6" t="s">
        <v>2520</v>
      </c>
      <c r="I170" s="4"/>
      <c r="J170" s="6">
        <f>IF(I170&gt;0,PRODUCT(1100,I170),"")</f>
      </c>
    </row>
    <row r="171" spans="1:10" ht="23" customHeight="1">
      <c r="A171" s="4" t="s">
        <v>2521</v>
      </c>
      <c r="B171" s="4" t="s">
        <v>2522</v>
      </c>
      <c r="C171" s="4"/>
      <c r="D171" s="5" t="s">
        <v>2523</v>
      </c>
      <c r="E171" s="4"/>
      <c r="F171" t="s">
        <v>2524</v>
      </c>
      <c r="G171" s="6" t="s">
        <v>2525</v>
      </c>
      <c r="H171" s="6" t="s">
        <v>2526</v>
      </c>
      <c r="I171" s="4"/>
      <c r="J171" s="6">
        <f>IF(I171&gt;0,PRODUCT(1800,I171),"")</f>
      </c>
    </row>
    <row r="172" spans="1:10" ht="23" customHeight="1">
      <c r="A172" s="4"/>
      <c r="B172" s="4"/>
      <c r="C172" s="4"/>
      <c r="D172" s="7"/>
      <c r="E172" s="4"/>
      <c r="F172"/>
      <c r="G172" s="6" t="s">
        <v>2527</v>
      </c>
      <c r="H172" s="6" t="s">
        <v>2528</v>
      </c>
      <c r="I172" s="4"/>
      <c r="J172" s="6">
        <f>IF(I172&gt;0,PRODUCT(3800,I172),"")</f>
      </c>
    </row>
    <row r="173" spans="1:10" ht="23" customHeight="1">
      <c r="A173" s="4"/>
      <c r="B173" s="4"/>
      <c r="C173" s="4"/>
      <c r="D173" s="7"/>
      <c r="E173" s="4"/>
      <c r="F173"/>
      <c r="G173" s="6" t="s">
        <v>2529</v>
      </c>
      <c r="H173" s="6" t="s">
        <v>2530</v>
      </c>
      <c r="I173" s="4"/>
      <c r="J173" s="6">
        <f>IF(I173&gt;0,IF(AND(I173&gt;=1,I173&lt;=1),PRODUCT(3900,I173),IF(AND(I173&gt;=2,I173&lt;=4),PRODUCT(3850,I173),IF(I173&gt;=5,PRODUCT(3800,I173),""))),"")</f>
      </c>
    </row>
    <row r="174" spans="1:10" ht="23" customHeight="1">
      <c r="A174" s="4"/>
      <c r="B174" s="4"/>
      <c r="C174" s="4"/>
      <c r="D174" s="7"/>
      <c r="E174" s="4"/>
      <c r="F174"/>
      <c r="G174" s="6" t="s">
        <v>2531</v>
      </c>
      <c r="H174" s="6" t="s">
        <v>2532</v>
      </c>
      <c r="I174" s="4"/>
      <c r="J174" s="6">
        <f>IF(I174&gt;0,PRODUCT(990,I174),"")</f>
      </c>
    </row>
    <row r="175" spans="1:10" s="1" customFormat="1" customHeight="1">
      <c r="A175" s="3" t="s">
        <v>2533</v>
      </c>
      <c r="B175" s="3"/>
      <c r="C175" s="3"/>
      <c r="D175" s="3"/>
      <c r="E175" s="3"/>
      <c r="F175" s="3"/>
      <c r="G175" s="3"/>
      <c r="H175" s="3"/>
      <c r="I175" s="3"/>
      <c r="J175" s="3"/>
    </row>
    <row r="176" spans="1:10" s="1" customFormat="1" customHeight="1">
      <c r="A176" s="3" t="s">
        <v>2534</v>
      </c>
      <c r="B176" s="3"/>
      <c r="C176" s="3"/>
      <c r="D176" s="3"/>
      <c r="E176" s="3"/>
      <c r="F176" s="3"/>
      <c r="G176" s="3"/>
      <c r="H176" s="3"/>
      <c r="I176" s="3"/>
      <c r="J176" s="3"/>
    </row>
    <row r="177" spans="1:10" s="1" customFormat="1" customHeight="1">
      <c r="A177" s="3" t="s">
        <v>2535</v>
      </c>
      <c r="B177" s="3"/>
      <c r="C177" s="3"/>
      <c r="D177" s="3"/>
      <c r="E177" s="3"/>
      <c r="F177" s="3"/>
      <c r="G177" s="3"/>
      <c r="H177" s="3"/>
      <c r="I177" s="3"/>
      <c r="J177" s="3"/>
    </row>
    <row r="178" spans="1:10" ht="23" customHeight="1">
      <c r="A178" s="4" t="s">
        <v>2536</v>
      </c>
      <c r="B178" s="4" t="s">
        <v>2537</v>
      </c>
      <c r="C178" s="4"/>
      <c r="D178" s="5" t="s">
        <v>2538</v>
      </c>
      <c r="E178" s="4" t="s">
        <v>2539</v>
      </c>
      <c r="F178"/>
      <c r="G178" s="6" t="s">
        <v>2540</v>
      </c>
      <c r="H178" s="6" t="s">
        <v>2541</v>
      </c>
      <c r="I178" s="4"/>
      <c r="J178" s="6">
        <f>IF(I178&gt;0,PRODUCT(5350,I178),"")</f>
      </c>
    </row>
    <row r="179" spans="1:10" ht="23" customHeight="1">
      <c r="A179" s="4"/>
      <c r="B179" s="4"/>
      <c r="C179" s="4"/>
      <c r="D179" s="7"/>
      <c r="E179" s="4"/>
      <c r="F179"/>
      <c r="G179" s="6" t="s">
        <v>2542</v>
      </c>
      <c r="H179" s="6" t="s">
        <v>2543</v>
      </c>
      <c r="I179" s="4"/>
      <c r="J179" s="6">
        <f>IF(I179&gt;0,PRODUCT(790,I179),"")</f>
      </c>
    </row>
    <row r="180" spans="1:10" ht="23" customHeight="1">
      <c r="A180" s="4"/>
      <c r="B180" s="4"/>
      <c r="C180" s="4"/>
      <c r="D180" s="7"/>
      <c r="E180" s="4"/>
      <c r="F180"/>
      <c r="G180" s="6" t="s">
        <v>2544</v>
      </c>
      <c r="H180" s="6" t="s">
        <v>2545</v>
      </c>
      <c r="I180" s="4"/>
      <c r="J180" s="6">
        <f>IF(I180&gt;0,PRODUCT(9591,I180),"")</f>
      </c>
    </row>
    <row r="181" spans="1:10" ht="23" customHeight="1">
      <c r="A181" s="4"/>
      <c r="B181" s="4"/>
      <c r="C181" s="4"/>
      <c r="D181" s="7"/>
      <c r="E181" s="4"/>
      <c r="F181"/>
      <c r="G181" s="6" t="s">
        <v>2546</v>
      </c>
      <c r="H181" s="6" t="s">
        <v>2547</v>
      </c>
      <c r="I181" s="4"/>
      <c r="J181" s="6">
        <f>IF(I181&gt;0,PRODUCT(2990,I181),"")</f>
      </c>
    </row>
    <row r="182" spans="1:10" ht="23" customHeight="1">
      <c r="A182" s="4" t="s">
        <v>2548</v>
      </c>
      <c r="B182" s="4" t="s">
        <v>2549</v>
      </c>
      <c r="C182" s="4"/>
      <c r="D182" s="5" t="s">
        <v>2550</v>
      </c>
      <c r="E182" s="4" t="s">
        <v>2551</v>
      </c>
      <c r="F182"/>
      <c r="G182" s="6" t="s">
        <v>2552</v>
      </c>
      <c r="H182" s="6" t="s">
        <v>2553</v>
      </c>
      <c r="I182" s="4"/>
      <c r="J182" s="6">
        <f>IF(I182&gt;0,PRODUCT(4990,I182),"")</f>
      </c>
    </row>
    <row r="183" spans="1:10" ht="23" customHeight="1">
      <c r="A183" s="4"/>
      <c r="B183" s="4"/>
      <c r="C183" s="4"/>
      <c r="D183" s="7"/>
      <c r="E183" s="4"/>
      <c r="F183"/>
      <c r="G183" s="6" t="s">
        <v>2554</v>
      </c>
      <c r="H183" s="6" t="s">
        <v>2555</v>
      </c>
      <c r="I183" s="4"/>
      <c r="J183" s="6">
        <f>IF(I183&gt;0,PRODUCT(810,I183),"")</f>
      </c>
    </row>
    <row r="184" spans="1:10" ht="23" customHeight="1">
      <c r="A184" s="4"/>
      <c r="B184" s="4"/>
      <c r="C184" s="4"/>
      <c r="D184" s="7"/>
      <c r="E184" s="4"/>
      <c r="F184"/>
      <c r="G184" s="6" t="s">
        <v>2556</v>
      </c>
      <c r="H184" s="6" t="s">
        <v>2557</v>
      </c>
      <c r="I184" s="4"/>
      <c r="J184" s="6">
        <f>IF(I184&gt;0,PRODUCT(8600,I184),"")</f>
      </c>
    </row>
    <row r="185" spans="1:10" ht="23" customHeight="1">
      <c r="A185" s="4"/>
      <c r="B185" s="4"/>
      <c r="C185" s="4"/>
      <c r="D185" s="7"/>
      <c r="E185" s="4"/>
      <c r="F185"/>
      <c r="G185" s="6" t="s">
        <v>2558</v>
      </c>
      <c r="H185" s="6" t="s">
        <v>2559</v>
      </c>
      <c r="I185" s="4"/>
      <c r="J185" s="6">
        <f>IF(I185&gt;0,PRODUCT(2890,I185),"")</f>
      </c>
    </row>
    <row r="186" spans="1:10" ht="30.5" customHeight="1">
      <c r="A186" s="4" t="s">
        <v>2560</v>
      </c>
      <c r="B186" s="4"/>
      <c r="C186" s="4"/>
      <c r="D186" s="5" t="s">
        <v>2561</v>
      </c>
      <c r="E186" s="4"/>
      <c r="F186" t="s">
        <v>2562</v>
      </c>
      <c r="G186" s="6" t="s">
        <v>2563</v>
      </c>
      <c r="H186" s="6" t="s">
        <v>2564</v>
      </c>
      <c r="I186" s="4"/>
      <c r="J186" s="6">
        <f>IF(I186&gt;0,PRODUCT(835,I186),"")</f>
      </c>
    </row>
    <row r="187" spans="1:10" ht="30.5" customHeight="1">
      <c r="A187" s="4"/>
      <c r="B187" s="4"/>
      <c r="C187" s="4"/>
      <c r="D187" s="7"/>
      <c r="E187" s="4"/>
      <c r="F187"/>
      <c r="G187" s="6" t="s">
        <v>2565</v>
      </c>
      <c r="H187" s="6" t="s">
        <v>2566</v>
      </c>
      <c r="I187" s="4"/>
      <c r="J187" s="6">
        <f>IF(I187&gt;0,PRODUCT(490,I187),"")</f>
      </c>
    </row>
    <row r="188" spans="1:10" ht="30.5" customHeight="1">
      <c r="A188" s="4"/>
      <c r="B188" s="4"/>
      <c r="C188" s="4"/>
      <c r="D188" s="7"/>
      <c r="E188" s="4"/>
      <c r="F188"/>
      <c r="G188" s="6" t="s">
        <v>2567</v>
      </c>
      <c r="H188" s="6" t="s">
        <v>2568</v>
      </c>
      <c r="I188" s="4"/>
      <c r="J188" s="6">
        <f>IF(I188&gt;0,PRODUCT(490,I188),"")</f>
      </c>
    </row>
    <row r="189" spans="1:10" s="1" customFormat="1" customHeight="1">
      <c r="A189" s="3" t="s">
        <v>2569</v>
      </c>
      <c r="B189" s="3"/>
      <c r="C189" s="3"/>
      <c r="D189" s="3"/>
      <c r="E189" s="3"/>
      <c r="F189" s="3"/>
      <c r="G189" s="3"/>
      <c r="H189" s="3"/>
      <c r="I189" s="3"/>
      <c r="J189" s="3"/>
    </row>
    <row r="190" spans="1:10" customHeight="1">
      <c r="A190" s="4" t="s">
        <v>2570</v>
      </c>
      <c r="B190" s="4"/>
      <c r="C190" s="4"/>
      <c r="D190" s="5" t="s">
        <v>2571</v>
      </c>
      <c r="E190" s="4"/>
      <c r="F190" t="s">
        <v>2572</v>
      </c>
      <c r="G190" s="6" t="s">
        <v>2573</v>
      </c>
      <c r="H190" s="6"/>
      <c r="I190" s="4"/>
      <c r="J190" s="6"/>
    </row>
    <row r="191" spans="1:10" customHeight="1">
      <c r="A191" s="4"/>
      <c r="B191" s="4"/>
      <c r="C191" s="4"/>
      <c r="D191" s="7"/>
      <c r="E191" s="4"/>
      <c r="F191"/>
      <c r="G191" s="6" t="s">
        <v>2574</v>
      </c>
      <c r="H191" s="6"/>
      <c r="I191" s="4"/>
      <c r="J191" s="6"/>
    </row>
    <row r="192" spans="1:10" customHeight="1">
      <c r="A192" s="4"/>
      <c r="B192" s="4"/>
      <c r="C192" s="4"/>
      <c r="D192" s="7"/>
      <c r="E192" s="4"/>
      <c r="F192"/>
      <c r="G192" s="6" t="s">
        <v>2575</v>
      </c>
      <c r="H192" s="6"/>
      <c r="I192" s="4"/>
      <c r="J192" s="6"/>
    </row>
    <row r="193" spans="1:10" customHeight="1">
      <c r="A193" s="4"/>
      <c r="B193" s="4"/>
      <c r="C193" s="4"/>
      <c r="D193" s="7"/>
      <c r="E193" s="4"/>
      <c r="F193"/>
      <c r="G193" s="6" t="s">
        <v>2576</v>
      </c>
      <c r="H193" s="6"/>
      <c r="I193" s="4"/>
      <c r="J193" s="6"/>
    </row>
    <row r="194" spans="1:10" customHeight="1">
      <c r="A194" s="4"/>
      <c r="B194" s="4"/>
      <c r="C194" s="4"/>
      <c r="D194" s="7"/>
      <c r="E194" s="4"/>
      <c r="F194"/>
      <c r="G194" s="6" t="s">
        <v>2577</v>
      </c>
      <c r="H194" s="6"/>
      <c r="I194" s="4"/>
      <c r="J194" s="6"/>
    </row>
    <row r="195" spans="1:10" s="1" customFormat="1" customHeight="1">
      <c r="A195" s="3" t="s">
        <v>2578</v>
      </c>
      <c r="B195" s="3"/>
      <c r="C195" s="3"/>
      <c r="D195" s="3"/>
      <c r="E195" s="3"/>
      <c r="F195" s="3"/>
      <c r="G195" s="3"/>
      <c r="H195" s="3"/>
      <c r="I195" s="3"/>
      <c r="J195" s="3"/>
    </row>
    <row r="196" spans="1:10" ht="58.6" customHeight="1">
      <c r="A196" s="4" t="s">
        <v>2579</v>
      </c>
      <c r="B196" s="4" t="s">
        <v>2580</v>
      </c>
      <c r="C196" s="4"/>
      <c r="D196" s="5" t="s">
        <v>2581</v>
      </c>
      <c r="E196" s="4"/>
      <c r="F196" t="s">
        <v>2582</v>
      </c>
      <c r="G196" s="6" t="s">
        <v>2583</v>
      </c>
      <c r="H196" s="6" t="s">
        <v>2584</v>
      </c>
      <c r="I196" s="4"/>
      <c r="J196" s="6">
        <f>IF(I196&gt;0,PRODUCT(5520,I196),"")</f>
      </c>
    </row>
    <row r="197" spans="1:10" ht="79" customHeight="1">
      <c r="A197" s="4" t="s">
        <v>2585</v>
      </c>
      <c r="B197" s="4" t="s">
        <v>2586</v>
      </c>
      <c r="C197" s="4"/>
      <c r="D197" s="5" t="s">
        <v>2587</v>
      </c>
      <c r="E197" s="4"/>
      <c r="F197"/>
      <c r="G197" s="6" t="s">
        <v>2588</v>
      </c>
      <c r="H197" s="6" t="s">
        <v>2589</v>
      </c>
      <c r="I197" s="4"/>
      <c r="J197" s="6">
        <f>IF(I197&gt;0,PRODUCT(5450,I197),"")</f>
      </c>
    </row>
    <row r="198" spans="1:10" ht="61" customHeight="1">
      <c r="A198" s="4" t="s">
        <v>2590</v>
      </c>
      <c r="B198" s="4" t="s">
        <v>2591</v>
      </c>
      <c r="C198" s="4"/>
      <c r="D198" s="5" t="s">
        <v>2592</v>
      </c>
      <c r="E198" s="4"/>
      <c r="F198"/>
      <c r="G198" s="6" t="s">
        <v>2593</v>
      </c>
      <c r="H198" s="6" t="s">
        <v>2594</v>
      </c>
      <c r="I198" s="4"/>
      <c r="J198" s="6">
        <f>IF(I198&gt;0,PRODUCT(5900,I198),"")</f>
      </c>
    </row>
    <row r="199" spans="1:10" ht="22.5" customHeight="1">
      <c r="A199" s="4" t="s">
        <v>2595</v>
      </c>
      <c r="B199" s="4" t="s">
        <v>2596</v>
      </c>
      <c r="C199" s="4"/>
      <c r="D199" s="5" t="s">
        <v>2597</v>
      </c>
      <c r="E199" s="4"/>
      <c r="F199"/>
      <c r="G199" s="6" t="s">
        <v>2598</v>
      </c>
      <c r="H199" s="6" t="s">
        <v>2599</v>
      </c>
      <c r="I199" s="4"/>
      <c r="J199" s="6">
        <f>IF(I199&gt;0,PRODUCT(660,I199),"")</f>
      </c>
    </row>
    <row r="200" spans="1:10" ht="22.5" customHeight="1">
      <c r="A200" s="4"/>
      <c r="B200" s="4"/>
      <c r="C200" s="4"/>
      <c r="D200" s="7"/>
      <c r="E200" s="4"/>
      <c r="F200"/>
      <c r="G200" s="6" t="s">
        <v>2600</v>
      </c>
      <c r="H200" s="6" t="s">
        <v>2601</v>
      </c>
      <c r="I200" s="4"/>
      <c r="J200" s="6">
        <f>IF(I200&gt;0,PRODUCT(6200,I200),"")</f>
      </c>
    </row>
    <row r="201" spans="1:10" ht="23.2" customHeight="1">
      <c r="A201" s="4"/>
      <c r="B201" s="4"/>
      <c r="C201" s="4"/>
      <c r="D201" s="7"/>
      <c r="E201" s="4"/>
      <c r="F201"/>
      <c r="G201" s="6" t="s">
        <v>2602</v>
      </c>
      <c r="H201" s="6" t="s">
        <v>2603</v>
      </c>
      <c r="I201" s="4"/>
      <c r="J201" s="6">
        <f>IF(I201&gt;0,PRODUCT(2300,I201),"")</f>
      </c>
    </row>
    <row r="202" spans="1:10" ht="30.5" customHeight="1">
      <c r="A202" s="4" t="s">
        <v>2604</v>
      </c>
      <c r="B202" s="4" t="s">
        <v>2605</v>
      </c>
      <c r="C202" s="4"/>
      <c r="D202" s="5" t="s">
        <v>2606</v>
      </c>
      <c r="E202" s="4"/>
      <c r="F202"/>
      <c r="G202" s="6" t="s">
        <v>2607</v>
      </c>
      <c r="H202" s="6" t="s">
        <v>2608</v>
      </c>
      <c r="I202" s="4"/>
      <c r="J202" s="6">
        <f>IF(I202&gt;0,PRODUCT(650,I202),"")</f>
      </c>
    </row>
    <row r="203" spans="1:10" ht="30.5" customHeight="1">
      <c r="A203" s="4"/>
      <c r="B203" s="4"/>
      <c r="C203" s="4"/>
      <c r="D203" s="7"/>
      <c r="E203" s="4"/>
      <c r="F203"/>
      <c r="G203" s="6" t="s">
        <v>2609</v>
      </c>
      <c r="H203" s="6" t="s">
        <v>2610</v>
      </c>
      <c r="I203" s="4"/>
      <c r="J203" s="6">
        <f>IF(I203&gt;0,PRODUCT(5500,I203),"")</f>
      </c>
    </row>
    <row r="204" spans="1:10" ht="30.5" customHeight="1">
      <c r="A204" s="4"/>
      <c r="B204" s="4"/>
      <c r="C204" s="4"/>
      <c r="D204" s="7"/>
      <c r="E204" s="4"/>
      <c r="F204"/>
      <c r="G204" s="6" t="s">
        <v>2611</v>
      </c>
      <c r="H204" s="6" t="s">
        <v>2612</v>
      </c>
      <c r="I204" s="4"/>
      <c r="J204" s="6">
        <f>IF(I204&gt;0,PRODUCT(2200,I204),"")</f>
      </c>
    </row>
    <row r="205" spans="1:10" s="10" customFormat="1" customHeight="1">
      <c r="A205" s="11">
        <f>CONCATENATE("Общая сумма: ",SUM(J2:J94)," руб.")</f>
      </c>
      <c r="B205" s="11"/>
      <c r="C205" s="11"/>
      <c r="D205" s="11"/>
      <c r="E205" s="11"/>
      <c r="F205" s="11"/>
      <c r="G205" s="11"/>
      <c r="H205" s="11"/>
      <c r="I205" s="11"/>
      <c r="J205" s="11"/>
    </row>
  </sheetData>
  <sheetProtection formatCells="0" formatColumns="0" formatRows="0" insertColumns="0" insertRows="0" insertHyperlinks="0" deleteColumns="0" deleteRows="0" sort="0" autoFilter="0" pivotTables="0"/>
  <mergeCells count="316">
    <mergeCell ref="A2:J2"/>
    <mergeCell ref="A3:J3"/>
    <mergeCell ref="A4:J4"/>
    <mergeCell ref="A5:J5"/>
    <mergeCell ref="A6:A8"/>
    <mergeCell ref="B6:B8"/>
    <mergeCell ref="C6:C8"/>
    <mergeCell ref="D6:D8"/>
    <mergeCell ref="E6:E8"/>
    <mergeCell ref="F6:F8"/>
    <mergeCell ref="A9:J9"/>
    <mergeCell ref="A11:J11"/>
    <mergeCell ref="A12:A13"/>
    <mergeCell ref="B12:B13"/>
    <mergeCell ref="C12:C13"/>
    <mergeCell ref="D12:D13"/>
    <mergeCell ref="E12:E13"/>
    <mergeCell ref="F12:F13"/>
    <mergeCell ref="A14:J14"/>
    <mergeCell ref="A15:J15"/>
    <mergeCell ref="A17:J17"/>
    <mergeCell ref="A18:A21"/>
    <mergeCell ref="B18:B21"/>
    <mergeCell ref="C18:C21"/>
    <mergeCell ref="D18:D21"/>
    <mergeCell ref="E18:E21"/>
    <mergeCell ref="F18:F21"/>
    <mergeCell ref="A22:J22"/>
    <mergeCell ref="A23:A26"/>
    <mergeCell ref="B23:B26"/>
    <mergeCell ref="C23:C26"/>
    <mergeCell ref="D23:D26"/>
    <mergeCell ref="E23:E26"/>
    <mergeCell ref="F23:F26"/>
    <mergeCell ref="A27:J27"/>
    <mergeCell ref="A28:J28"/>
    <mergeCell ref="A29:J29"/>
    <mergeCell ref="A30:A32"/>
    <mergeCell ref="B30:B32"/>
    <mergeCell ref="C30:C32"/>
    <mergeCell ref="D30:D32"/>
    <mergeCell ref="E30:E32"/>
    <mergeCell ref="F30:F32"/>
    <mergeCell ref="A33:J33"/>
    <mergeCell ref="A34:A36"/>
    <mergeCell ref="B34:B36"/>
    <mergeCell ref="C34:C36"/>
    <mergeCell ref="D34:D36"/>
    <mergeCell ref="E34:E36"/>
    <mergeCell ref="F34:F36"/>
    <mergeCell ref="A37:J37"/>
    <mergeCell ref="A39:A40"/>
    <mergeCell ref="B39:B40"/>
    <mergeCell ref="C39:C40"/>
    <mergeCell ref="D39:D40"/>
    <mergeCell ref="E39:E40"/>
    <mergeCell ref="F39:F40"/>
    <mergeCell ref="A41:J41"/>
    <mergeCell ref="A42:A46"/>
    <mergeCell ref="B42:B46"/>
    <mergeCell ref="C42:C46"/>
    <mergeCell ref="D42:D46"/>
    <mergeCell ref="E42:E46"/>
    <mergeCell ref="F42:F46"/>
    <mergeCell ref="A47:A51"/>
    <mergeCell ref="B47:B51"/>
    <mergeCell ref="C47:C51"/>
    <mergeCell ref="D47:D51"/>
    <mergeCell ref="E47:E51"/>
    <mergeCell ref="F47:F51"/>
    <mergeCell ref="A52:J52"/>
    <mergeCell ref="A53:A56"/>
    <mergeCell ref="B53:B56"/>
    <mergeCell ref="C53:C56"/>
    <mergeCell ref="D53:D56"/>
    <mergeCell ref="E53:E56"/>
    <mergeCell ref="F53:F56"/>
    <mergeCell ref="A57:A58"/>
    <mergeCell ref="B57:B58"/>
    <mergeCell ref="C57:C58"/>
    <mergeCell ref="D57:D58"/>
    <mergeCell ref="E57:E58"/>
    <mergeCell ref="F57:F58"/>
    <mergeCell ref="A59:J59"/>
    <mergeCell ref="A60:J60"/>
    <mergeCell ref="A61:A63"/>
    <mergeCell ref="B61:B63"/>
    <mergeCell ref="C61:C63"/>
    <mergeCell ref="D61:D63"/>
    <mergeCell ref="E61:E63"/>
    <mergeCell ref="F61:F63"/>
    <mergeCell ref="A64:J64"/>
    <mergeCell ref="A67:A69"/>
    <mergeCell ref="B67:B69"/>
    <mergeCell ref="C67:C69"/>
    <mergeCell ref="D67:D69"/>
    <mergeCell ref="E67:E69"/>
    <mergeCell ref="F67:F69"/>
    <mergeCell ref="A70:J70"/>
    <mergeCell ref="A71:A73"/>
    <mergeCell ref="B71:B73"/>
    <mergeCell ref="C71:C73"/>
    <mergeCell ref="D71:D73"/>
    <mergeCell ref="E71:E73"/>
    <mergeCell ref="F71:F73"/>
    <mergeCell ref="A74:J74"/>
    <mergeCell ref="A75:A77"/>
    <mergeCell ref="B75:B77"/>
    <mergeCell ref="C75:C77"/>
    <mergeCell ref="D75:D77"/>
    <mergeCell ref="E75:E77"/>
    <mergeCell ref="F75:F77"/>
    <mergeCell ref="A78:J78"/>
    <mergeCell ref="A79:A82"/>
    <mergeCell ref="B79:B82"/>
    <mergeCell ref="C79:C82"/>
    <mergeCell ref="D79:D82"/>
    <mergeCell ref="E79:E82"/>
    <mergeCell ref="F79:F82"/>
    <mergeCell ref="A83:J83"/>
    <mergeCell ref="A84:A88"/>
    <mergeCell ref="B84:B88"/>
    <mergeCell ref="C84:C88"/>
    <mergeCell ref="D84:D88"/>
    <mergeCell ref="E84:E88"/>
    <mergeCell ref="F84:F88"/>
    <mergeCell ref="A89:J89"/>
    <mergeCell ref="A90:J90"/>
    <mergeCell ref="A91:A92"/>
    <mergeCell ref="B91:B92"/>
    <mergeCell ref="C91:C92"/>
    <mergeCell ref="D91:D92"/>
    <mergeCell ref="E91:E92"/>
    <mergeCell ref="F91:F92"/>
    <mergeCell ref="A93:A95"/>
    <mergeCell ref="B93:B95"/>
    <mergeCell ref="C93:C95"/>
    <mergeCell ref="D93:D95"/>
    <mergeCell ref="E93:E95"/>
    <mergeCell ref="F93:F95"/>
    <mergeCell ref="A96:A98"/>
    <mergeCell ref="B96:B98"/>
    <mergeCell ref="C96:C98"/>
    <mergeCell ref="D96:D98"/>
    <mergeCell ref="E96:E98"/>
    <mergeCell ref="F96:F98"/>
    <mergeCell ref="A99:J99"/>
    <mergeCell ref="A100:A102"/>
    <mergeCell ref="B100:B102"/>
    <mergeCell ref="C100:C102"/>
    <mergeCell ref="D100:D102"/>
    <mergeCell ref="E100:E102"/>
    <mergeCell ref="F100:F102"/>
    <mergeCell ref="A103:A105"/>
    <mergeCell ref="B103:B105"/>
    <mergeCell ref="C103:C105"/>
    <mergeCell ref="D103:D105"/>
    <mergeCell ref="E103:E105"/>
    <mergeCell ref="F103:F105"/>
    <mergeCell ref="A106:A108"/>
    <mergeCell ref="B106:B108"/>
    <mergeCell ref="C106:C108"/>
    <mergeCell ref="D106:D108"/>
    <mergeCell ref="E106:E108"/>
    <mergeCell ref="F106:F108"/>
    <mergeCell ref="A109:A113"/>
    <mergeCell ref="B109:B113"/>
    <mergeCell ref="C109:C113"/>
    <mergeCell ref="D109:D113"/>
    <mergeCell ref="E109:E113"/>
    <mergeCell ref="F109:F113"/>
    <mergeCell ref="A114:J114"/>
    <mergeCell ref="A115:A118"/>
    <mergeCell ref="B115:B118"/>
    <mergeCell ref="C115:C118"/>
    <mergeCell ref="D115:D118"/>
    <mergeCell ref="E115:E118"/>
    <mergeCell ref="F115:F118"/>
    <mergeCell ref="A119:A122"/>
    <mergeCell ref="B119:B122"/>
    <mergeCell ref="C119:C122"/>
    <mergeCell ref="D119:D122"/>
    <mergeCell ref="E119:E122"/>
    <mergeCell ref="F119:F122"/>
    <mergeCell ref="A123:J123"/>
    <mergeCell ref="A124:A125"/>
    <mergeCell ref="B124:B125"/>
    <mergeCell ref="C124:C125"/>
    <mergeCell ref="D124:D125"/>
    <mergeCell ref="E124:E125"/>
    <mergeCell ref="F124:F125"/>
    <mergeCell ref="A126:A130"/>
    <mergeCell ref="B126:B130"/>
    <mergeCell ref="C126:C130"/>
    <mergeCell ref="D126:D130"/>
    <mergeCell ref="E126:E130"/>
    <mergeCell ref="F126:F130"/>
    <mergeCell ref="A131:J131"/>
    <mergeCell ref="A132:J132"/>
    <mergeCell ref="A133:A135"/>
    <mergeCell ref="B133:B135"/>
    <mergeCell ref="C133:C135"/>
    <mergeCell ref="D133:D135"/>
    <mergeCell ref="E133:E135"/>
    <mergeCell ref="F133:F135"/>
    <mergeCell ref="A136:A138"/>
    <mergeCell ref="B136:B138"/>
    <mergeCell ref="C136:C138"/>
    <mergeCell ref="D136:D138"/>
    <mergeCell ref="E136:E138"/>
    <mergeCell ref="F136:F138"/>
    <mergeCell ref="A139:A141"/>
    <mergeCell ref="B139:B141"/>
    <mergeCell ref="C139:C141"/>
    <mergeCell ref="D139:D141"/>
    <mergeCell ref="E139:E141"/>
    <mergeCell ref="F139:F141"/>
    <mergeCell ref="A142:J142"/>
    <mergeCell ref="A143:A147"/>
    <mergeCell ref="B143:B147"/>
    <mergeCell ref="C143:C147"/>
    <mergeCell ref="D143:D147"/>
    <mergeCell ref="E143:E147"/>
    <mergeCell ref="F143:F147"/>
    <mergeCell ref="A148:A152"/>
    <mergeCell ref="B148:B152"/>
    <mergeCell ref="C148:C152"/>
    <mergeCell ref="D148:D152"/>
    <mergeCell ref="E148:E152"/>
    <mergeCell ref="F148:F152"/>
    <mergeCell ref="A153:J153"/>
    <mergeCell ref="A154:A156"/>
    <mergeCell ref="B154:B156"/>
    <mergeCell ref="C154:C156"/>
    <mergeCell ref="D154:D156"/>
    <mergeCell ref="E154:E156"/>
    <mergeCell ref="F154:F156"/>
    <mergeCell ref="A157:A159"/>
    <mergeCell ref="B157:B159"/>
    <mergeCell ref="C157:C159"/>
    <mergeCell ref="D157:D159"/>
    <mergeCell ref="E157:E159"/>
    <mergeCell ref="F157:F159"/>
    <mergeCell ref="A160:A161"/>
    <mergeCell ref="B160:B161"/>
    <mergeCell ref="C160:C161"/>
    <mergeCell ref="D160:D161"/>
    <mergeCell ref="E160:E161"/>
    <mergeCell ref="F160:F161"/>
    <mergeCell ref="A162:A163"/>
    <mergeCell ref="B162:B163"/>
    <mergeCell ref="C162:C163"/>
    <mergeCell ref="D162:D163"/>
    <mergeCell ref="E162:E163"/>
    <mergeCell ref="F162:F163"/>
    <mergeCell ref="A164:A165"/>
    <mergeCell ref="B164:B165"/>
    <mergeCell ref="C164:C165"/>
    <mergeCell ref="D164:D165"/>
    <mergeCell ref="E164:E165"/>
    <mergeCell ref="F164:F165"/>
    <mergeCell ref="A166:J166"/>
    <mergeCell ref="A167:A170"/>
    <mergeCell ref="B167:B170"/>
    <mergeCell ref="C167:C170"/>
    <mergeCell ref="D167:D170"/>
    <mergeCell ref="E167:E170"/>
    <mergeCell ref="F167:F170"/>
    <mergeCell ref="A171:A174"/>
    <mergeCell ref="B171:B174"/>
    <mergeCell ref="C171:C174"/>
    <mergeCell ref="D171:D174"/>
    <mergeCell ref="E171:E174"/>
    <mergeCell ref="F171:F174"/>
    <mergeCell ref="A175:J175"/>
    <mergeCell ref="A176:J176"/>
    <mergeCell ref="A177:J177"/>
    <mergeCell ref="A178:A181"/>
    <mergeCell ref="B178:B181"/>
    <mergeCell ref="C178:C181"/>
    <mergeCell ref="D178:D181"/>
    <mergeCell ref="E178:E181"/>
    <mergeCell ref="F178:F181"/>
    <mergeCell ref="A182:A185"/>
    <mergeCell ref="B182:B185"/>
    <mergeCell ref="C182:C185"/>
    <mergeCell ref="D182:D185"/>
    <mergeCell ref="E182:E185"/>
    <mergeCell ref="F182:F185"/>
    <mergeCell ref="A186:A188"/>
    <mergeCell ref="B186:B188"/>
    <mergeCell ref="C186:C188"/>
    <mergeCell ref="D186:D188"/>
    <mergeCell ref="E186:E188"/>
    <mergeCell ref="F186:F188"/>
    <mergeCell ref="A189:J189"/>
    <mergeCell ref="A190:A194"/>
    <mergeCell ref="B190:B194"/>
    <mergeCell ref="C190:C194"/>
    <mergeCell ref="D190:D194"/>
    <mergeCell ref="E190:E194"/>
    <mergeCell ref="F190:F194"/>
    <mergeCell ref="A195:J195"/>
    <mergeCell ref="A199:A201"/>
    <mergeCell ref="B199:B201"/>
    <mergeCell ref="C199:C201"/>
    <mergeCell ref="D199:D201"/>
    <mergeCell ref="E199:E201"/>
    <mergeCell ref="F199:F201"/>
    <mergeCell ref="A202:A204"/>
    <mergeCell ref="B202:B204"/>
    <mergeCell ref="C202:C204"/>
    <mergeCell ref="D202:D204"/>
    <mergeCell ref="E202:E204"/>
    <mergeCell ref="F202:F204"/>
    <mergeCell ref="A205:J205"/>
  </mergeCells>
  <hyperlinks>
    <hyperlink ref="D6" r:id="rId2"/>
    <hyperlink ref="D10" r:id="rId3"/>
    <hyperlink ref="D12" r:id="rId4"/>
    <hyperlink ref="D16" r:id="rId5"/>
    <hyperlink ref="D18" r:id="rId6"/>
    <hyperlink ref="D23" r:id="rId7"/>
    <hyperlink ref="D30" r:id="rId8"/>
    <hyperlink ref="D34" r:id="rId9"/>
    <hyperlink ref="D38" r:id="rId10"/>
    <hyperlink ref="D39" r:id="rId11"/>
    <hyperlink ref="D42" r:id="rId12"/>
    <hyperlink ref="D47" r:id="rId13"/>
    <hyperlink ref="D53" r:id="rId14"/>
    <hyperlink ref="D57" r:id="rId15"/>
    <hyperlink ref="D61" r:id="rId16"/>
    <hyperlink ref="D65" r:id="rId17"/>
    <hyperlink ref="D66" r:id="rId18"/>
    <hyperlink ref="D67" r:id="rId19"/>
    <hyperlink ref="D71" r:id="rId20"/>
    <hyperlink ref="D75" r:id="rId21"/>
    <hyperlink ref="D79" r:id="rId22"/>
    <hyperlink ref="D84" r:id="rId23"/>
    <hyperlink ref="D91" r:id="rId24"/>
    <hyperlink ref="D93" r:id="rId25"/>
    <hyperlink ref="D96" r:id="rId26"/>
    <hyperlink ref="D100" r:id="rId27"/>
    <hyperlink ref="D103" r:id="rId28"/>
    <hyperlink ref="D106" r:id="rId29"/>
    <hyperlink ref="D109" r:id="rId30"/>
    <hyperlink ref="D115" r:id="rId31"/>
    <hyperlink ref="D119" r:id="rId32"/>
    <hyperlink ref="D124" r:id="rId33"/>
    <hyperlink ref="D126" r:id="rId34"/>
    <hyperlink ref="D133" r:id="rId35"/>
    <hyperlink ref="D136" r:id="rId36"/>
    <hyperlink ref="D139" r:id="rId37"/>
    <hyperlink ref="D143" r:id="rId38"/>
    <hyperlink ref="D148" r:id="rId39"/>
    <hyperlink ref="D154" r:id="rId40"/>
    <hyperlink ref="D157" r:id="rId41"/>
    <hyperlink ref="D160" r:id="rId42"/>
    <hyperlink ref="D162" r:id="rId43"/>
    <hyperlink ref="D164" r:id="rId44"/>
    <hyperlink ref="D167" r:id="rId45"/>
    <hyperlink ref="D171" r:id="rId46"/>
    <hyperlink ref="D178" r:id="rId47"/>
    <hyperlink ref="D182" r:id="rId48"/>
    <hyperlink ref="D186" r:id="rId49"/>
    <hyperlink ref="D190" r:id="rId50"/>
    <hyperlink ref="D196" r:id="rId51"/>
    <hyperlink ref="D197" r:id="rId52"/>
    <hyperlink ref="D198" r:id="rId53"/>
    <hyperlink ref="D199" r:id="rId54"/>
    <hyperlink ref="D202" r:id="rId55"/>
  </hyperlinks>
  <pageMargins left="0.7" right="0.7" top="0.75" bottom="0.75" header="0.3" footer="0.3"/>
  <pageSetup orientation="portrait"/>
  <headerFooter alignWithMargins="0"/>
  <ignoredErrors>
    <ignoredError sqref="A1:J205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39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2613</v>
      </c>
      <c r="B1" s="3" t="s">
        <v>2614</v>
      </c>
      <c r="C1" s="3" t="s">
        <v>2615</v>
      </c>
      <c r="D1" s="3" t="s">
        <v>2616</v>
      </c>
      <c r="E1" s="3" t="s">
        <v>2617</v>
      </c>
      <c r="F1" s="3" t="s">
        <v>2618</v>
      </c>
      <c r="G1" s="3" t="s">
        <v>2619</v>
      </c>
      <c r="H1" s="3" t="s">
        <v>2620</v>
      </c>
      <c r="I1" s="3" t="s">
        <v>2621</v>
      </c>
      <c r="J1" s="3" t="s">
        <v>2622</v>
      </c>
    </row>
    <row r="2" spans="1:10" s="1" customFormat="1" customHeight="1">
      <c r="A2" s="3" t="s">
        <v>2623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2624</v>
      </c>
      <c r="B3" s="3"/>
      <c r="C3" s="3"/>
      <c r="D3" s="3"/>
      <c r="E3" s="3"/>
      <c r="F3" s="3"/>
      <c r="G3" s="3"/>
      <c r="H3" s="3"/>
      <c r="I3" s="3"/>
      <c r="J3" s="3"/>
    </row>
    <row r="4" spans="1:10" ht="30.5" customHeight="1">
      <c r="A4" s="4" t="s">
        <v>2625</v>
      </c>
      <c r="B4" s="4" t="s">
        <v>2626</v>
      </c>
      <c r="C4" s="4"/>
      <c r="D4" s="5" t="s">
        <v>2627</v>
      </c>
      <c r="E4" s="4"/>
      <c r="F4"/>
      <c r="G4" s="6" t="s">
        <v>2628</v>
      </c>
      <c r="H4" s="6" t="s">
        <v>2629</v>
      </c>
      <c r="I4" s="4"/>
      <c r="J4" s="6">
        <f>IF(I4&gt;0,PRODUCT(665,I4),"")</f>
      </c>
    </row>
    <row r="5" spans="1:10" ht="30.5" customHeight="1">
      <c r="A5" s="4"/>
      <c r="B5" s="4"/>
      <c r="C5" s="4"/>
      <c r="D5" s="7"/>
      <c r="E5" s="4"/>
      <c r="F5"/>
      <c r="G5" s="6" t="s">
        <v>2630</v>
      </c>
      <c r="H5" s="6" t="s">
        <v>2631</v>
      </c>
      <c r="I5" s="4"/>
      <c r="J5" s="6">
        <f>IF(I5&gt;0,PRODUCT(665,I5),"")</f>
      </c>
    </row>
    <row r="6" spans="1:10" ht="30.5" customHeight="1">
      <c r="A6" s="4"/>
      <c r="B6" s="4"/>
      <c r="C6" s="4"/>
      <c r="D6" s="7"/>
      <c r="E6" s="4"/>
      <c r="F6"/>
      <c r="G6" s="6" t="s">
        <v>2632</v>
      </c>
      <c r="H6" s="6" t="s">
        <v>2633</v>
      </c>
      <c r="I6" s="4"/>
      <c r="J6" s="6">
        <f>IF(I6&gt;0,PRODUCT(2660,I6),"")</f>
      </c>
    </row>
    <row r="7" spans="1:10" ht="60.4" customHeight="1">
      <c r="A7" s="4" t="s">
        <v>2634</v>
      </c>
      <c r="B7" s="4" t="s">
        <v>2635</v>
      </c>
      <c r="C7" s="4"/>
      <c r="D7" s="5" t="s">
        <v>2636</v>
      </c>
      <c r="E7" s="4"/>
      <c r="F7" t="s">
        <v>2637</v>
      </c>
      <c r="G7" s="6" t="s">
        <v>2638</v>
      </c>
      <c r="H7" s="6" t="s">
        <v>2639</v>
      </c>
      <c r="I7" s="4"/>
      <c r="J7" s="6">
        <f>IF(I7&gt;0,PRODUCT(3445,I7),"")</f>
      </c>
    </row>
    <row r="8" spans="1:10" ht="60.4" customHeight="1">
      <c r="A8" s="4" t="s">
        <v>2640</v>
      </c>
      <c r="B8" s="4" t="s">
        <v>2641</v>
      </c>
      <c r="C8" s="4"/>
      <c r="D8" s="5" t="s">
        <v>2642</v>
      </c>
      <c r="E8" s="4"/>
      <c r="F8" t="s">
        <v>2643</v>
      </c>
      <c r="G8" s="6" t="s">
        <v>2644</v>
      </c>
      <c r="H8" s="6" t="s">
        <v>2645</v>
      </c>
      <c r="I8" s="4"/>
      <c r="J8" s="6">
        <f>IF(I8&gt;0,PRODUCT(3480,I8),"")</f>
      </c>
    </row>
    <row r="9" spans="1:10" s="1" customFormat="1" customHeight="1">
      <c r="A9" s="3" t="s">
        <v>2646</v>
      </c>
      <c r="B9" s="3"/>
      <c r="C9" s="3"/>
      <c r="D9" s="3"/>
      <c r="E9" s="3"/>
      <c r="F9" s="3"/>
      <c r="G9" s="3"/>
      <c r="H9" s="3"/>
      <c r="I9" s="3"/>
      <c r="J9" s="3"/>
    </row>
    <row r="10" spans="1:10" ht="91" customHeight="1">
      <c r="A10" s="4" t="s">
        <v>2647</v>
      </c>
      <c r="B10" s="4" t="s">
        <v>2648</v>
      </c>
      <c r="C10" s="4"/>
      <c r="D10" s="5" t="s">
        <v>2649</v>
      </c>
      <c r="E10" s="4"/>
      <c r="F10"/>
      <c r="G10" s="6" t="s">
        <v>2650</v>
      </c>
      <c r="H10" s="6" t="s">
        <v>2651</v>
      </c>
      <c r="I10" s="4"/>
      <c r="J10" s="6">
        <f>IF(I10&gt;0,PRODUCT(4480,I10),"")</f>
      </c>
    </row>
    <row r="11" spans="1:10" ht="77.8" customHeight="1">
      <c r="A11" s="4" t="s">
        <v>2652</v>
      </c>
      <c r="B11" s="4" t="s">
        <v>2653</v>
      </c>
      <c r="C11" s="4"/>
      <c r="D11" s="5" t="s">
        <v>2654</v>
      </c>
      <c r="E11" s="4"/>
      <c r="F11"/>
      <c r="G11" s="6" t="s">
        <v>2655</v>
      </c>
      <c r="H11" s="6" t="s">
        <v>2656</v>
      </c>
      <c r="I11" s="4"/>
      <c r="J11" s="6">
        <f>IF(I11&gt;0,PRODUCT(5520,I11),"")</f>
      </c>
    </row>
    <row r="12" spans="1:10" ht="91" customHeight="1">
      <c r="A12" s="4" t="s">
        <v>2657</v>
      </c>
      <c r="B12" s="4" t="s">
        <v>2658</v>
      </c>
      <c r="C12" s="4"/>
      <c r="D12" s="5" t="s">
        <v>2659</v>
      </c>
      <c r="E12" s="4"/>
      <c r="F12"/>
      <c r="G12" s="6" t="s">
        <v>2660</v>
      </c>
      <c r="H12" s="6" t="s">
        <v>2661</v>
      </c>
      <c r="I12" s="4"/>
      <c r="J12" s="6">
        <f>IF(I12&gt;0,PRODUCT(4740,I12),"")</f>
      </c>
    </row>
    <row r="13" spans="1:10" s="1" customFormat="1" customHeight="1">
      <c r="A13" s="3" t="s">
        <v>2662</v>
      </c>
      <c r="B13" s="3"/>
      <c r="C13" s="3"/>
      <c r="D13" s="3"/>
      <c r="E13" s="3"/>
      <c r="F13" s="3"/>
      <c r="G13" s="3"/>
      <c r="H13" s="3"/>
      <c r="I13" s="3"/>
      <c r="J13" s="3"/>
    </row>
    <row r="14" spans="1:10" ht="61" customHeight="1">
      <c r="A14" s="4" t="s">
        <v>2663</v>
      </c>
      <c r="B14" s="4" t="s">
        <v>2664</v>
      </c>
      <c r="C14" s="4"/>
      <c r="D14" s="5" t="s">
        <v>2665</v>
      </c>
      <c r="E14" s="4"/>
      <c r="F14" t="s">
        <v>2666</v>
      </c>
      <c r="G14" s="6" t="s">
        <v>2667</v>
      </c>
      <c r="H14" s="6" t="s">
        <v>2668</v>
      </c>
      <c r="I14" s="4"/>
      <c r="J14" s="6">
        <f>IF(I14&gt;0,PRODUCT(1720,I14),"")</f>
      </c>
    </row>
    <row r="15" spans="1:10" ht="91" customHeight="1">
      <c r="A15" s="4" t="s">
        <v>2669</v>
      </c>
      <c r="B15" s="4" t="s">
        <v>2670</v>
      </c>
      <c r="C15" s="4"/>
      <c r="D15" s="5" t="s">
        <v>2671</v>
      </c>
      <c r="E15" s="4"/>
      <c r="F15"/>
      <c r="G15" s="6" t="s">
        <v>2672</v>
      </c>
      <c r="H15" s="6" t="s">
        <v>2673</v>
      </c>
      <c r="I15" s="4"/>
      <c r="J15" s="6">
        <f>IF(I15&gt;0,PRODUCT(1520,I15),"")</f>
      </c>
    </row>
    <row r="16" spans="1:10" ht="74.2" customHeight="1">
      <c r="A16" s="4" t="s">
        <v>2674</v>
      </c>
      <c r="B16" s="4" t="s">
        <v>2675</v>
      </c>
      <c r="C16" s="4"/>
      <c r="D16" s="5" t="s">
        <v>2676</v>
      </c>
      <c r="E16" s="4"/>
      <c r="F16" t="s">
        <v>2677</v>
      </c>
      <c r="G16" s="6" t="s">
        <v>2678</v>
      </c>
      <c r="H16" s="6" t="s">
        <v>2679</v>
      </c>
      <c r="I16" s="4"/>
      <c r="J16" s="6">
        <f>IF(I16&gt;0,PRODUCT(1470,I16),"")</f>
      </c>
    </row>
    <row r="17" spans="1:10" ht="31" customHeight="1">
      <c r="A17" s="4" t="s">
        <v>2680</v>
      </c>
      <c r="B17" s="4" t="s">
        <v>2681</v>
      </c>
      <c r="C17" s="4"/>
      <c r="D17" s="5" t="s">
        <v>2682</v>
      </c>
      <c r="E17" s="4"/>
      <c r="F17" t="s">
        <v>2683</v>
      </c>
      <c r="G17" s="6" t="s">
        <v>2684</v>
      </c>
      <c r="H17" s="6" t="s">
        <v>2685</v>
      </c>
      <c r="I17" s="4"/>
      <c r="J17" s="6">
        <f>IF(I17&gt;0,PRODUCT(2760,I17),"")</f>
      </c>
    </row>
    <row r="18" spans="1:10" ht="31" customHeight="1">
      <c r="A18" s="4"/>
      <c r="B18" s="4"/>
      <c r="C18" s="4"/>
      <c r="D18" s="7"/>
      <c r="E18" s="4"/>
      <c r="F18"/>
      <c r="G18" s="6" t="s">
        <v>2686</v>
      </c>
      <c r="H18" s="6" t="s">
        <v>2687</v>
      </c>
      <c r="I18" s="4"/>
      <c r="J18" s="6">
        <f>IF(I18&gt;0,PRODUCT(1530,I18),"")</f>
      </c>
    </row>
    <row r="19" spans="1:10" ht="79.6" customHeight="1">
      <c r="A19" s="4" t="s">
        <v>2688</v>
      </c>
      <c r="B19" s="4" t="s">
        <v>2689</v>
      </c>
      <c r="C19" s="4"/>
      <c r="D19" s="5" t="s">
        <v>2690</v>
      </c>
      <c r="E19" s="4"/>
      <c r="F19" t="s">
        <v>2691</v>
      </c>
      <c r="G19" s="6" t="s">
        <v>2692</v>
      </c>
      <c r="H19" s="6" t="s">
        <v>2693</v>
      </c>
      <c r="I19" s="4"/>
      <c r="J19" s="6">
        <f>IF(I19&gt;0,PRODUCT(1820,I19),"")</f>
      </c>
    </row>
    <row r="20" spans="1:10" s="1" customFormat="1" customHeight="1">
      <c r="A20" s="3" t="s">
        <v>2694</v>
      </c>
      <c r="B20" s="3"/>
      <c r="C20" s="3"/>
      <c r="D20" s="3"/>
      <c r="E20" s="3"/>
      <c r="F20" s="3"/>
      <c r="G20" s="3"/>
      <c r="H20" s="3"/>
      <c r="I20" s="3"/>
      <c r="J20" s="3"/>
    </row>
    <row r="21" spans="1:10" ht="45.5" customHeight="1">
      <c r="A21" s="4" t="s">
        <v>2695</v>
      </c>
      <c r="B21" s="4" t="s">
        <v>2696</v>
      </c>
      <c r="C21" s="4"/>
      <c r="D21" s="5" t="s">
        <v>2697</v>
      </c>
      <c r="E21" s="4"/>
      <c r="F21" t="s">
        <v>2698</v>
      </c>
      <c r="G21" s="6" t="s">
        <v>2699</v>
      </c>
      <c r="H21" s="6" t="s">
        <v>2700</v>
      </c>
      <c r="I21" s="4"/>
      <c r="J21" s="6">
        <f>IF(I21&gt;0,PRODUCT(1520,I21),"")</f>
      </c>
    </row>
    <row r="22" spans="1:10" ht="45.5" customHeight="1">
      <c r="A22" s="4"/>
      <c r="B22" s="4"/>
      <c r="C22" s="4"/>
      <c r="D22" s="7"/>
      <c r="E22" s="4"/>
      <c r="F22"/>
      <c r="G22" s="6" t="s">
        <v>2701</v>
      </c>
      <c r="H22" s="6" t="s">
        <v>2702</v>
      </c>
      <c r="I22" s="4"/>
      <c r="J22" s="6">
        <f>IF(I22&gt;0,PRODUCT(2750,I22),"")</f>
      </c>
    </row>
    <row r="23" spans="1:10" ht="64.6" customHeight="1">
      <c r="A23" s="4" t="s">
        <v>2703</v>
      </c>
      <c r="B23" s="4" t="s">
        <v>2704</v>
      </c>
      <c r="C23" s="4"/>
      <c r="D23" s="5" t="s">
        <v>2705</v>
      </c>
      <c r="E23" s="4"/>
      <c r="F23"/>
      <c r="G23" s="6" t="s">
        <v>2706</v>
      </c>
      <c r="H23" s="6" t="s">
        <v>2707</v>
      </c>
      <c r="I23" s="4"/>
      <c r="J23" s="6">
        <f>IF(I23&gt;0,PRODUCT(6250,I23),"")</f>
      </c>
    </row>
    <row r="24" spans="1:10" ht="63.4" customHeight="1">
      <c r="A24" s="4" t="s">
        <v>2708</v>
      </c>
      <c r="B24" s="4" t="s">
        <v>2709</v>
      </c>
      <c r="C24" s="4"/>
      <c r="D24" s="5" t="s">
        <v>2710</v>
      </c>
      <c r="E24" s="4"/>
      <c r="F24"/>
      <c r="G24" s="6" t="s">
        <v>2711</v>
      </c>
      <c r="H24" s="6" t="s">
        <v>2712</v>
      </c>
      <c r="I24" s="4"/>
      <c r="J24" s="6">
        <f>IF(I24&gt;0,PRODUCT(5450,I24),"")</f>
      </c>
    </row>
    <row r="25" spans="1:10" ht="91" customHeight="1">
      <c r="A25" s="4" t="s">
        <v>2713</v>
      </c>
      <c r="B25" s="4" t="s">
        <v>2714</v>
      </c>
      <c r="C25" s="4"/>
      <c r="D25" s="5" t="s">
        <v>2715</v>
      </c>
      <c r="E25" s="4"/>
      <c r="F25"/>
      <c r="G25" s="6" t="s">
        <v>2716</v>
      </c>
      <c r="H25" s="6" t="s">
        <v>2717</v>
      </c>
      <c r="I25" s="4"/>
      <c r="J25" s="6">
        <f>IF(I25&gt;0,PRODUCT(5400,I25),"")</f>
      </c>
    </row>
    <row r="26" spans="1:10" ht="91" customHeight="1">
      <c r="A26" s="4" t="s">
        <v>2718</v>
      </c>
      <c r="B26" s="4" t="s">
        <v>2719</v>
      </c>
      <c r="C26" s="4"/>
      <c r="D26" s="5" t="s">
        <v>2720</v>
      </c>
      <c r="E26" s="4"/>
      <c r="F26"/>
      <c r="G26" s="6" t="s">
        <v>2721</v>
      </c>
      <c r="H26" s="6" t="s">
        <v>2722</v>
      </c>
      <c r="I26" s="4"/>
      <c r="J26" s="6">
        <f>IF(I26&gt;0,PRODUCT(2815,I26),"")</f>
      </c>
    </row>
    <row r="27" spans="1:10" ht="91" customHeight="1">
      <c r="A27" s="4" t="s">
        <v>2723</v>
      </c>
      <c r="B27" s="4" t="s">
        <v>2724</v>
      </c>
      <c r="C27" s="4"/>
      <c r="D27" s="5" t="s">
        <v>2725</v>
      </c>
      <c r="E27" s="4"/>
      <c r="F27"/>
      <c r="G27" s="6" t="s">
        <v>2726</v>
      </c>
      <c r="H27" s="6" t="s">
        <v>2727</v>
      </c>
      <c r="I27" s="4"/>
      <c r="J27" s="6">
        <f>IF(I27&gt;0,PRODUCT(4650,I27),"")</f>
      </c>
    </row>
    <row r="28" spans="1:10" ht="77.8" customHeight="1">
      <c r="A28" s="4" t="s">
        <v>2728</v>
      </c>
      <c r="B28" s="4" t="s">
        <v>2729</v>
      </c>
      <c r="C28" s="4"/>
      <c r="D28" s="5" t="s">
        <v>2730</v>
      </c>
      <c r="E28" s="4"/>
      <c r="F28"/>
      <c r="G28" s="6" t="s">
        <v>2731</v>
      </c>
      <c r="H28" s="6" t="s">
        <v>2732</v>
      </c>
      <c r="I28" s="4"/>
      <c r="J28" s="6">
        <f>IF(I28&gt;0,PRODUCT(19500,I28),"")</f>
      </c>
    </row>
    <row r="29" spans="1:10" ht="77.8" customHeight="1">
      <c r="A29" s="4" t="s">
        <v>2733</v>
      </c>
      <c r="B29" s="4" t="s">
        <v>2734</v>
      </c>
      <c r="C29" s="4"/>
      <c r="D29" s="5" t="s">
        <v>2735</v>
      </c>
      <c r="E29" s="4"/>
      <c r="F29" t="s">
        <v>2736</v>
      </c>
      <c r="G29" s="6" t="s">
        <v>2737</v>
      </c>
      <c r="H29" s="6" t="s">
        <v>2738</v>
      </c>
      <c r="I29" s="4"/>
      <c r="J29" s="6">
        <f>IF(I29&gt;0,PRODUCT(17600,I29),"")</f>
      </c>
    </row>
    <row r="30" spans="1:10" ht="68.8" customHeight="1">
      <c r="A30" s="4" t="s">
        <v>2739</v>
      </c>
      <c r="B30" s="4" t="s">
        <v>2740</v>
      </c>
      <c r="C30" s="4"/>
      <c r="D30" s="5" t="s">
        <v>2741</v>
      </c>
      <c r="E30" s="4"/>
      <c r="F30"/>
      <c r="G30" s="6" t="s">
        <v>2742</v>
      </c>
      <c r="H30" s="6" t="s">
        <v>2743</v>
      </c>
      <c r="I30" s="4"/>
      <c r="J30" s="6">
        <f>IF(I30&gt;0,PRODUCT(5125,I30),"")</f>
      </c>
    </row>
    <row r="31" spans="1:10" ht="91" customHeight="1">
      <c r="A31" s="4" t="s">
        <v>2744</v>
      </c>
      <c r="B31" s="4" t="s">
        <v>2745</v>
      </c>
      <c r="C31" s="4"/>
      <c r="D31" s="5" t="s">
        <v>2746</v>
      </c>
      <c r="E31" s="4"/>
      <c r="F31" t="s">
        <v>2747</v>
      </c>
      <c r="G31" s="6" t="s">
        <v>2748</v>
      </c>
      <c r="H31" s="6" t="s">
        <v>2749</v>
      </c>
      <c r="I31" s="4"/>
      <c r="J31" s="6">
        <f>IF(I31&gt;0,PRODUCT(6530,I31),"")</f>
      </c>
    </row>
    <row r="32" spans="1:10" ht="68.2" customHeight="1">
      <c r="A32" s="4" t="s">
        <v>2750</v>
      </c>
      <c r="B32" s="4" t="s">
        <v>2751</v>
      </c>
      <c r="C32" s="4"/>
      <c r="D32" s="5" t="s">
        <v>2752</v>
      </c>
      <c r="E32" s="4" t="s">
        <v>2753</v>
      </c>
      <c r="F32"/>
      <c r="G32" s="6" t="s">
        <v>2754</v>
      </c>
      <c r="H32" s="6" t="s">
        <v>2755</v>
      </c>
      <c r="I32" s="4"/>
      <c r="J32" s="6">
        <f>IF(I32&gt;0,PRODUCT(2450,I32),"")</f>
      </c>
    </row>
    <row r="33" spans="1:10" s="1" customFormat="1" customHeight="1">
      <c r="A33" s="3" t="s">
        <v>2756</v>
      </c>
      <c r="B33" s="3"/>
      <c r="C33" s="3"/>
      <c r="D33" s="3"/>
      <c r="E33" s="3"/>
      <c r="F33" s="3"/>
      <c r="G33" s="3"/>
      <c r="H33" s="3"/>
      <c r="I33" s="3"/>
      <c r="J33" s="3"/>
    </row>
    <row r="34" spans="1:10" customHeight="1">
      <c r="A34" t="s">
        <v>2757</v>
      </c>
      <c r="B34"/>
      <c r="C34"/>
      <c r="D34"/>
      <c r="E34"/>
      <c r="F34"/>
      <c r="G34"/>
      <c r="H34"/>
      <c r="I34"/>
      <c r="J34"/>
    </row>
    <row r="35" spans="1:10" customHeight="1">
      <c r="A35" t="s">
        <v>2758</v>
      </c>
      <c r="B35"/>
      <c r="C35"/>
      <c r="D35"/>
      <c r="E35"/>
      <c r="F35"/>
      <c r="G35"/>
      <c r="H35"/>
      <c r="I35"/>
      <c r="J35"/>
    </row>
    <row r="36" spans="1:10" ht="30.5" customHeight="1">
      <c r="A36" s="4" t="s">
        <v>2759</v>
      </c>
      <c r="B36" s="4" t="s">
        <v>2760</v>
      </c>
      <c r="C36" s="4"/>
      <c r="D36" s="5" t="s">
        <v>2761</v>
      </c>
      <c r="E36" s="4"/>
      <c r="F36"/>
      <c r="G36" s="6" t="s">
        <v>2762</v>
      </c>
      <c r="H36" s="6" t="s">
        <v>2763</v>
      </c>
      <c r="I36" s="4"/>
      <c r="J36" s="6">
        <f>IF(I36&gt;0,PRODUCT(340,I36),"")</f>
      </c>
    </row>
    <row r="37" spans="1:10" ht="30.5" customHeight="1">
      <c r="A37" s="4"/>
      <c r="B37" s="4"/>
      <c r="C37" s="4"/>
      <c r="D37" s="7"/>
      <c r="E37" s="4"/>
      <c r="F37"/>
      <c r="G37" s="6" t="s">
        <v>2764</v>
      </c>
      <c r="H37" s="6" t="s">
        <v>2765</v>
      </c>
      <c r="I37" s="4"/>
      <c r="J37" s="6">
        <f>IF(I37&gt;0,PRODUCT(545,I37),"")</f>
      </c>
    </row>
    <row r="38" spans="1:10" ht="30.5" customHeight="1">
      <c r="A38" s="4"/>
      <c r="B38" s="4"/>
      <c r="C38" s="4"/>
      <c r="D38" s="7"/>
      <c r="E38" s="4"/>
      <c r="F38"/>
      <c r="G38" s="6" t="s">
        <v>2766</v>
      </c>
      <c r="H38" s="6" t="s">
        <v>2767</v>
      </c>
      <c r="I38" s="4"/>
      <c r="J38" s="6">
        <f>IF(I38&gt;0,PRODUCT(2980,I38),"")</f>
      </c>
    </row>
    <row r="39" spans="1:10" customHeight="1">
      <c r="A39" t="s">
        <v>2768</v>
      </c>
      <c r="B39"/>
      <c r="C39"/>
      <c r="D39"/>
      <c r="E39"/>
      <c r="F39"/>
      <c r="G39"/>
      <c r="H39"/>
      <c r="I39"/>
      <c r="J39"/>
    </row>
    <row r="40" spans="1:10" ht="58" customHeight="1">
      <c r="A40" s="4" t="s">
        <v>2769</v>
      </c>
      <c r="B40" s="4" t="s">
        <v>2770</v>
      </c>
      <c r="C40" s="4"/>
      <c r="D40" s="5" t="s">
        <v>2771</v>
      </c>
      <c r="E40" s="4"/>
      <c r="F40" t="s">
        <v>2772</v>
      </c>
      <c r="G40" s="6" t="s">
        <v>2773</v>
      </c>
      <c r="H40" s="6" t="s">
        <v>2774</v>
      </c>
      <c r="I40" s="4"/>
      <c r="J40" s="6">
        <f>IF(I40&gt;0,PRODUCT(1620,I40),"")</f>
      </c>
    </row>
    <row r="41" spans="1:10" ht="64" customHeight="1">
      <c r="A41" s="4" t="s">
        <v>2775</v>
      </c>
      <c r="B41" s="4" t="s">
        <v>2776</v>
      </c>
      <c r="C41" s="4"/>
      <c r="D41" s="5" t="s">
        <v>2777</v>
      </c>
      <c r="E41" s="4"/>
      <c r="F41"/>
      <c r="G41" s="6" t="s">
        <v>2778</v>
      </c>
      <c r="H41" s="6" t="s">
        <v>2779</v>
      </c>
      <c r="I41" s="4"/>
      <c r="J41" s="6">
        <f>IF(I41&gt;0,PRODUCT(1620,I41),"")</f>
      </c>
    </row>
    <row r="42" spans="1:10" ht="58" customHeight="1">
      <c r="A42" s="4" t="s">
        <v>2780</v>
      </c>
      <c r="B42" s="4" t="s">
        <v>2781</v>
      </c>
      <c r="C42" s="4"/>
      <c r="D42" s="5" t="s">
        <v>2782</v>
      </c>
      <c r="E42" s="4"/>
      <c r="F42" t="s">
        <v>2783</v>
      </c>
      <c r="G42" s="6" t="s">
        <v>2784</v>
      </c>
      <c r="H42" s="6" t="s">
        <v>2785</v>
      </c>
      <c r="I42" s="4"/>
      <c r="J42" s="6">
        <f>IF(I42&gt;0,PRODUCT(1670,I42),"")</f>
      </c>
    </row>
    <row r="43" spans="1:10" ht="83.8" customHeight="1">
      <c r="A43" s="4" t="s">
        <v>2786</v>
      </c>
      <c r="B43" s="4" t="s">
        <v>2787</v>
      </c>
      <c r="C43" s="4"/>
      <c r="D43" s="5" t="s">
        <v>2788</v>
      </c>
      <c r="E43" s="4" t="s">
        <v>2789</v>
      </c>
      <c r="F43" t="s">
        <v>2790</v>
      </c>
      <c r="G43" s="6" t="s">
        <v>2791</v>
      </c>
      <c r="H43" s="6" t="s">
        <v>2792</v>
      </c>
      <c r="I43" s="4"/>
      <c r="J43" s="6">
        <f>IF(I43&gt;0,PRODUCT(1620,I43),"")</f>
      </c>
    </row>
    <row r="44" spans="1:10" ht="67" customHeight="1">
      <c r="A44" s="4" t="s">
        <v>2793</v>
      </c>
      <c r="B44" s="4" t="s">
        <v>2794</v>
      </c>
      <c r="C44" s="4"/>
      <c r="D44" s="5" t="s">
        <v>2795</v>
      </c>
      <c r="E44" s="4"/>
      <c r="F44" t="s">
        <v>2796</v>
      </c>
      <c r="G44" s="6" t="s">
        <v>2797</v>
      </c>
      <c r="H44" s="6" t="s">
        <v>2798</v>
      </c>
      <c r="I44" s="4"/>
      <c r="J44" s="6">
        <f>IF(I44&gt;0,PRODUCT(1670,I44),"")</f>
      </c>
    </row>
    <row r="45" spans="1:10" ht="68.8" customHeight="1">
      <c r="A45" s="4" t="s">
        <v>2799</v>
      </c>
      <c r="B45" s="4" t="s">
        <v>2800</v>
      </c>
      <c r="C45" s="4"/>
      <c r="D45" s="5" t="s">
        <v>2801</v>
      </c>
      <c r="E45" s="4"/>
      <c r="F45" t="s">
        <v>2802</v>
      </c>
      <c r="G45" s="6" t="s">
        <v>2803</v>
      </c>
      <c r="H45" s="6" t="s">
        <v>2804</v>
      </c>
      <c r="I45" s="4"/>
      <c r="J45" s="6">
        <f>IF(I45&gt;0,PRODUCT(1670,I45),"")</f>
      </c>
    </row>
    <row r="46" spans="1:10" ht="44.8" customHeight="1">
      <c r="A46" s="4" t="s">
        <v>2805</v>
      </c>
      <c r="B46" s="4" t="s">
        <v>2806</v>
      </c>
      <c r="C46" s="4"/>
      <c r="D46" s="5" t="s">
        <v>2807</v>
      </c>
      <c r="E46" s="4"/>
      <c r="F46" t="s">
        <v>2808</v>
      </c>
      <c r="G46" s="6" t="s">
        <v>2809</v>
      </c>
      <c r="H46" s="6" t="s">
        <v>2810</v>
      </c>
      <c r="I46" s="4"/>
      <c r="J46" s="6">
        <f>IF(I46&gt;0,PRODUCT(1670,I46),"")</f>
      </c>
    </row>
    <row r="47" spans="1:10" ht="68.8" customHeight="1">
      <c r="A47" s="4" t="s">
        <v>2811</v>
      </c>
      <c r="B47" s="4" t="s">
        <v>2812</v>
      </c>
      <c r="C47" s="4"/>
      <c r="D47" s="5" t="s">
        <v>2813</v>
      </c>
      <c r="E47" s="4" t="s">
        <v>2814</v>
      </c>
      <c r="F47"/>
      <c r="G47" s="6" t="s">
        <v>2815</v>
      </c>
      <c r="H47" s="6" t="s">
        <v>2816</v>
      </c>
      <c r="I47" s="4"/>
      <c r="J47" s="6">
        <f>IF(I47&gt;0,PRODUCT(4150,I47),"")</f>
      </c>
    </row>
    <row r="48" spans="1:10" ht="91" customHeight="1">
      <c r="A48" s="4" t="s">
        <v>2817</v>
      </c>
      <c r="B48" s="4" t="s">
        <v>2818</v>
      </c>
      <c r="C48" s="4"/>
      <c r="D48" s="5" t="s">
        <v>2819</v>
      </c>
      <c r="E48" s="4" t="s">
        <v>2820</v>
      </c>
      <c r="F48"/>
      <c r="G48" s="6" t="s">
        <v>2821</v>
      </c>
      <c r="H48" s="6" t="s">
        <v>2822</v>
      </c>
      <c r="I48" s="4"/>
      <c r="J48" s="6">
        <f>IF(I48&gt;0,PRODUCT(4400,I48),"")</f>
      </c>
    </row>
    <row r="49" spans="1:10" ht="68.8" customHeight="1">
      <c r="A49" s="4" t="s">
        <v>2823</v>
      </c>
      <c r="B49" s="4" t="s">
        <v>2824</v>
      </c>
      <c r="C49" s="4"/>
      <c r="D49" s="5" t="s">
        <v>2825</v>
      </c>
      <c r="E49" s="4"/>
      <c r="F49"/>
      <c r="G49" s="6" t="s">
        <v>2826</v>
      </c>
      <c r="H49" s="6" t="s">
        <v>2827</v>
      </c>
      <c r="I49" s="4"/>
      <c r="J49" s="6">
        <f>IF(I49&gt;0,PRODUCT(3640,I49),"")</f>
      </c>
    </row>
    <row r="50" spans="1:10" ht="85" customHeight="1">
      <c r="A50" s="4" t="s">
        <v>2828</v>
      </c>
      <c r="B50" s="4" t="s">
        <v>2829</v>
      </c>
      <c r="C50" s="4"/>
      <c r="D50" s="5" t="s">
        <v>2830</v>
      </c>
      <c r="E50" s="4"/>
      <c r="F50"/>
      <c r="G50" s="6" t="s">
        <v>2831</v>
      </c>
      <c r="H50" s="6" t="s">
        <v>2832</v>
      </c>
      <c r="I50" s="4"/>
      <c r="J50" s="6">
        <f>IF(I50&gt;0,PRODUCT(3895,I50),"")</f>
      </c>
    </row>
    <row r="51" spans="1:10" ht="20.5" customHeight="1">
      <c r="A51" s="4" t="s">
        <v>2833</v>
      </c>
      <c r="B51" s="4" t="s">
        <v>2834</v>
      </c>
      <c r="C51" s="4"/>
      <c r="D51" s="5" t="s">
        <v>2835</v>
      </c>
      <c r="E51" s="4" t="s">
        <v>2836</v>
      </c>
      <c r="F51" t="s">
        <v>2837</v>
      </c>
      <c r="G51" s="6" t="s">
        <v>2838</v>
      </c>
      <c r="H51" s="6" t="s">
        <v>2839</v>
      </c>
      <c r="I51" s="4"/>
      <c r="J51" s="6">
        <f>IF(I51&gt;0,PRODUCT(4350,I51),"")</f>
      </c>
    </row>
    <row r="52" spans="1:10" ht="20.5" customHeight="1">
      <c r="A52" s="4"/>
      <c r="B52" s="4"/>
      <c r="C52" s="4"/>
      <c r="D52" s="7"/>
      <c r="E52" s="4"/>
      <c r="F52"/>
      <c r="G52" s="6" t="s">
        <v>2840</v>
      </c>
      <c r="H52" s="6" t="s">
        <v>2841</v>
      </c>
      <c r="I52" s="4"/>
      <c r="J52" s="6">
        <f>IF(I52&gt;0,PRODUCT(435,I52),"")</f>
      </c>
    </row>
    <row r="53" spans="1:10" ht="20.6" customHeight="1">
      <c r="A53" s="4"/>
      <c r="B53" s="4"/>
      <c r="C53" s="4"/>
      <c r="D53" s="7"/>
      <c r="E53" s="4"/>
      <c r="F53"/>
      <c r="G53" s="6" t="s">
        <v>2842</v>
      </c>
      <c r="H53" s="6" t="s">
        <v>2843</v>
      </c>
      <c r="I53" s="4"/>
      <c r="J53" s="6">
        <f>IF(I53&gt;0,PRODUCT(265,I53),"")</f>
      </c>
    </row>
    <row r="54" spans="1:10" ht="75.4" customHeight="1">
      <c r="A54" s="4" t="s">
        <v>2844</v>
      </c>
      <c r="B54" s="4" t="s">
        <v>2845</v>
      </c>
      <c r="C54" s="4"/>
      <c r="D54" s="5" t="s">
        <v>2846</v>
      </c>
      <c r="E54" s="4" t="s">
        <v>2847</v>
      </c>
      <c r="F54"/>
      <c r="G54" s="6" t="s">
        <v>2848</v>
      </c>
      <c r="H54" s="6" t="s">
        <v>2849</v>
      </c>
      <c r="I54" s="4"/>
      <c r="J54" s="6">
        <f>IF(I54&gt;0,PRODUCT(4150,I54),"")</f>
      </c>
    </row>
    <row r="55" spans="1:10" ht="23" customHeight="1">
      <c r="A55" s="4" t="s">
        <v>2850</v>
      </c>
      <c r="B55" s="4" t="s">
        <v>2851</v>
      </c>
      <c r="C55" s="4"/>
      <c r="D55" s="5" t="s">
        <v>2852</v>
      </c>
      <c r="E55" s="4"/>
      <c r="F55"/>
      <c r="G55" s="6" t="s">
        <v>2853</v>
      </c>
      <c r="H55" s="6" t="s">
        <v>2854</v>
      </c>
      <c r="I55" s="4"/>
      <c r="J55" s="6">
        <f>IF(I55&gt;0,PRODUCT(540,I55),"")</f>
      </c>
    </row>
    <row r="56" spans="1:10" ht="23" customHeight="1">
      <c r="A56" s="4"/>
      <c r="B56" s="4"/>
      <c r="C56" s="4"/>
      <c r="D56" s="7"/>
      <c r="E56" s="4"/>
      <c r="F56"/>
      <c r="G56" s="6" t="s">
        <v>2855</v>
      </c>
      <c r="H56" s="6" t="s">
        <v>2856</v>
      </c>
      <c r="I56" s="4"/>
      <c r="J56" s="6">
        <f>IF(I56&gt;0,PRODUCT(10220,I56),"")</f>
      </c>
    </row>
    <row r="57" spans="1:10" ht="23" customHeight="1">
      <c r="A57" s="4"/>
      <c r="B57" s="4"/>
      <c r="C57" s="4"/>
      <c r="D57" s="7"/>
      <c r="E57" s="4"/>
      <c r="F57"/>
      <c r="G57" s="6" t="s">
        <v>2857</v>
      </c>
      <c r="H57" s="6" t="s">
        <v>2858</v>
      </c>
      <c r="I57" s="4"/>
      <c r="J57" s="6">
        <f>IF(I57&gt;0,PRODUCT(2220,I57),"")</f>
      </c>
    </row>
    <row r="58" spans="1:10" ht="23" customHeight="1">
      <c r="A58" s="4"/>
      <c r="B58" s="4"/>
      <c r="C58" s="4"/>
      <c r="D58" s="7"/>
      <c r="E58" s="4"/>
      <c r="F58"/>
      <c r="G58" s="6" t="s">
        <v>2859</v>
      </c>
      <c r="H58" s="6" t="s">
        <v>2860</v>
      </c>
      <c r="I58" s="4"/>
      <c r="J58" s="6">
        <f>IF(I58&gt;0,PRODUCT(370,I58),"")</f>
      </c>
    </row>
    <row r="59" spans="1:10" customHeight="1">
      <c r="A59" t="s">
        <v>2861</v>
      </c>
      <c r="B59"/>
      <c r="C59"/>
      <c r="D59"/>
      <c r="E59"/>
      <c r="F59"/>
      <c r="G59"/>
      <c r="H59"/>
      <c r="I59"/>
      <c r="J59"/>
    </row>
    <row r="60" spans="1:10" customHeight="1">
      <c r="A60" t="s">
        <v>2862</v>
      </c>
      <c r="B60"/>
      <c r="C60"/>
      <c r="D60"/>
      <c r="E60"/>
      <c r="F60"/>
      <c r="G60"/>
      <c r="H60"/>
      <c r="I60"/>
      <c r="J60"/>
    </row>
    <row r="61" spans="1:10" ht="68.8" customHeight="1">
      <c r="A61" s="4" t="s">
        <v>2863</v>
      </c>
      <c r="B61" s="4" t="s">
        <v>2864</v>
      </c>
      <c r="C61" s="4"/>
      <c r="D61" s="5" t="s">
        <v>2865</v>
      </c>
      <c r="E61" s="4"/>
      <c r="F61" t="s">
        <v>2866</v>
      </c>
      <c r="G61" s="6" t="s">
        <v>2867</v>
      </c>
      <c r="H61" s="6" t="s">
        <v>2868</v>
      </c>
      <c r="I61" s="4"/>
      <c r="J61" s="6">
        <f>IF(I61&gt;0,PRODUCT(3350,I61),"")</f>
      </c>
    </row>
    <row r="62" spans="1:10" ht="61.6" customHeight="1">
      <c r="A62" s="4" t="s">
        <v>2869</v>
      </c>
      <c r="B62" s="4" t="s">
        <v>2870</v>
      </c>
      <c r="C62" s="4"/>
      <c r="D62" s="5" t="s">
        <v>2871</v>
      </c>
      <c r="E62" s="4"/>
      <c r="F62" t="s">
        <v>2872</v>
      </c>
      <c r="G62" s="6" t="s">
        <v>2873</v>
      </c>
      <c r="H62" s="6" t="s">
        <v>2874</v>
      </c>
      <c r="I62" s="4"/>
      <c r="J62" s="6">
        <f>IF(I62&gt;0,PRODUCT(3350,I62),"")</f>
      </c>
    </row>
    <row r="63" spans="1:10" ht="91" customHeight="1">
      <c r="A63" s="4" t="s">
        <v>2875</v>
      </c>
      <c r="B63" s="4" t="s">
        <v>2876</v>
      </c>
      <c r="C63" s="4"/>
      <c r="D63" s="5" t="s">
        <v>2877</v>
      </c>
      <c r="E63" s="4" t="s">
        <v>2878</v>
      </c>
      <c r="F63"/>
      <c r="G63" s="6" t="s">
        <v>2879</v>
      </c>
      <c r="H63" s="6" t="s">
        <v>2880</v>
      </c>
      <c r="I63" s="4"/>
      <c r="J63" s="6">
        <f>IF(I63&gt;0,PRODUCT(3470,I63),"")</f>
      </c>
    </row>
    <row r="64" spans="1:10" ht="30.5" customHeight="1">
      <c r="A64" s="4" t="s">
        <v>2881</v>
      </c>
      <c r="B64" s="4" t="s">
        <v>2882</v>
      </c>
      <c r="C64" s="4"/>
      <c r="D64" s="5" t="s">
        <v>2883</v>
      </c>
      <c r="E64" s="4"/>
      <c r="F64" t="s">
        <v>2884</v>
      </c>
      <c r="G64" s="6" t="s">
        <v>2885</v>
      </c>
      <c r="H64" s="6" t="s">
        <v>2886</v>
      </c>
      <c r="I64" s="4"/>
      <c r="J64" s="6">
        <f>IF(I64&gt;0,PRODUCT(2770,I64),"")</f>
      </c>
    </row>
    <row r="65" spans="1:10" ht="30.5" customHeight="1">
      <c r="A65" s="4"/>
      <c r="B65" s="4"/>
      <c r="C65" s="4"/>
      <c r="D65" s="7"/>
      <c r="E65" s="4"/>
      <c r="F65"/>
      <c r="G65" s="6" t="s">
        <v>2887</v>
      </c>
      <c r="H65" s="6" t="s">
        <v>2888</v>
      </c>
      <c r="I65" s="4"/>
      <c r="J65" s="6">
        <f>IF(I65&gt;0,PRODUCT(490,I65),"")</f>
      </c>
    </row>
    <row r="66" spans="1:10" ht="30.5" customHeight="1">
      <c r="A66" s="4"/>
      <c r="B66" s="4"/>
      <c r="C66" s="4"/>
      <c r="D66" s="7"/>
      <c r="E66" s="4"/>
      <c r="F66"/>
      <c r="G66" s="6" t="s">
        <v>2889</v>
      </c>
      <c r="H66" s="6" t="s">
        <v>2890</v>
      </c>
      <c r="I66" s="4"/>
      <c r="J66" s="6">
        <f>IF(I66&gt;0,PRODUCT(230,I66),"")</f>
      </c>
    </row>
    <row r="67" spans="1:10" ht="83.8" customHeight="1">
      <c r="A67" s="4" t="s">
        <v>2891</v>
      </c>
      <c r="B67" s="4" t="s">
        <v>2892</v>
      </c>
      <c r="C67" s="4"/>
      <c r="D67" s="5" t="s">
        <v>2893</v>
      </c>
      <c r="E67" s="4"/>
      <c r="F67"/>
      <c r="G67" s="6" t="s">
        <v>2894</v>
      </c>
      <c r="H67" s="6" t="s">
        <v>2895</v>
      </c>
      <c r="I67" s="4"/>
      <c r="J67" s="6">
        <f>IF(I67&gt;0,PRODUCT(1740,I67),"")</f>
      </c>
    </row>
    <row r="68" spans="1:10" ht="61.6" customHeight="1">
      <c r="A68" s="4" t="s">
        <v>2896</v>
      </c>
      <c r="B68" s="4" t="s">
        <v>2897</v>
      </c>
      <c r="C68" s="4"/>
      <c r="D68" s="5" t="s">
        <v>2898</v>
      </c>
      <c r="E68" s="4"/>
      <c r="F68" t="s">
        <v>2899</v>
      </c>
      <c r="G68" s="6" t="s">
        <v>2900</v>
      </c>
      <c r="H68" s="6" t="s">
        <v>2901</v>
      </c>
      <c r="I68" s="4"/>
      <c r="J68" s="6">
        <f>IF(I68&gt;0,PRODUCT(1760,I68),"")</f>
      </c>
    </row>
    <row r="69" spans="1:10" ht="91" customHeight="1">
      <c r="A69" s="4" t="s">
        <v>2902</v>
      </c>
      <c r="B69" s="4" t="s">
        <v>2903</v>
      </c>
      <c r="C69" s="4"/>
      <c r="D69" s="5" t="s">
        <v>2904</v>
      </c>
      <c r="E69" s="4" t="s">
        <v>2905</v>
      </c>
      <c r="F69"/>
      <c r="G69" s="6" t="s">
        <v>2906</v>
      </c>
      <c r="H69" s="6" t="s">
        <v>2907</v>
      </c>
      <c r="I69" s="4"/>
      <c r="J69" s="6">
        <f>IF(I69&gt;0,PRODUCT(1760,I69),"")</f>
      </c>
    </row>
    <row r="70" spans="1:10" ht="91" customHeight="1">
      <c r="A70" s="4" t="s">
        <v>2908</v>
      </c>
      <c r="B70" s="4" t="s">
        <v>2909</v>
      </c>
      <c r="C70" s="4"/>
      <c r="D70" s="5" t="s">
        <v>2910</v>
      </c>
      <c r="E70" s="4" t="s">
        <v>2911</v>
      </c>
      <c r="F70" t="s">
        <v>2912</v>
      </c>
      <c r="G70" s="6" t="s">
        <v>2913</v>
      </c>
      <c r="H70" s="6" t="s">
        <v>2914</v>
      </c>
      <c r="I70" s="4"/>
      <c r="J70" s="6">
        <f>IF(I70&gt;0,PRODUCT(1870,I70),"")</f>
      </c>
    </row>
    <row r="71" spans="1:10" ht="60.4" customHeight="1">
      <c r="A71" s="4" t="s">
        <v>2915</v>
      </c>
      <c r="B71" s="4" t="s">
        <v>2916</v>
      </c>
      <c r="C71" s="4"/>
      <c r="D71" s="5" t="s">
        <v>2917</v>
      </c>
      <c r="E71" s="4"/>
      <c r="F71" t="s">
        <v>2918</v>
      </c>
      <c r="G71" s="6" t="s">
        <v>2919</v>
      </c>
      <c r="H71" s="6" t="s">
        <v>2920</v>
      </c>
      <c r="I71" s="4"/>
      <c r="J71" s="6">
        <f>IF(I71&gt;0,PRODUCT(1760,I71),"")</f>
      </c>
    </row>
    <row r="72" spans="1:10" ht="91" customHeight="1">
      <c r="A72" s="4" t="s">
        <v>2921</v>
      </c>
      <c r="B72" s="4" t="s">
        <v>2922</v>
      </c>
      <c r="C72" s="4"/>
      <c r="D72" s="5" t="s">
        <v>2923</v>
      </c>
      <c r="E72" s="4" t="s">
        <v>2924</v>
      </c>
      <c r="F72" t="s">
        <v>2925</v>
      </c>
      <c r="G72" s="6" t="s">
        <v>2926</v>
      </c>
      <c r="H72" s="6" t="s">
        <v>2927</v>
      </c>
      <c r="I72" s="4"/>
      <c r="J72" s="6">
        <f>IF(I72&gt;0,PRODUCT(1820,I72),"")</f>
      </c>
    </row>
    <row r="73" spans="1:10" ht="91" customHeight="1">
      <c r="A73" s="4" t="s">
        <v>2928</v>
      </c>
      <c r="B73" s="4" t="s">
        <v>2929</v>
      </c>
      <c r="C73" s="4"/>
      <c r="D73" s="5" t="s">
        <v>2930</v>
      </c>
      <c r="E73" s="4" t="s">
        <v>2931</v>
      </c>
      <c r="F73"/>
      <c r="G73" s="6" t="s">
        <v>2932</v>
      </c>
      <c r="H73" s="6" t="s">
        <v>2933</v>
      </c>
      <c r="I73" s="4"/>
      <c r="J73" s="6">
        <f>IF(I73&gt;0,PRODUCT(3430,I73),"")</f>
      </c>
    </row>
    <row r="74" spans="1:10" ht="91" customHeight="1">
      <c r="A74" s="4" t="s">
        <v>2934</v>
      </c>
      <c r="B74" s="4" t="s">
        <v>2935</v>
      </c>
      <c r="C74" s="4"/>
      <c r="D74" s="5" t="s">
        <v>2936</v>
      </c>
      <c r="E74" s="4" t="s">
        <v>2937</v>
      </c>
      <c r="F74" t="s">
        <v>2938</v>
      </c>
      <c r="G74" s="6" t="s">
        <v>2939</v>
      </c>
      <c r="H74" s="6" t="s">
        <v>2940</v>
      </c>
      <c r="I74" s="4"/>
      <c r="J74" s="6">
        <f>IF(I74&gt;0,PRODUCT(3170,I74),"")</f>
      </c>
    </row>
    <row r="75" spans="1:10" ht="61" customHeight="1">
      <c r="A75" s="4" t="s">
        <v>2941</v>
      </c>
      <c r="B75" s="4" t="s">
        <v>2942</v>
      </c>
      <c r="C75" s="4"/>
      <c r="D75" s="5" t="s">
        <v>2943</v>
      </c>
      <c r="E75" s="4"/>
      <c r="F75" t="s">
        <v>2944</v>
      </c>
      <c r="G75" s="6" t="s">
        <v>2945</v>
      </c>
      <c r="H75" s="6" t="s">
        <v>2946</v>
      </c>
      <c r="I75" s="4"/>
      <c r="J75" s="6">
        <f>IF(I75&gt;0,PRODUCT(2980,I75),"")</f>
      </c>
    </row>
    <row r="76" spans="1:10" customHeight="1">
      <c r="A76" t="s">
        <v>2947</v>
      </c>
      <c r="B76"/>
      <c r="C76"/>
      <c r="D76"/>
      <c r="E76"/>
      <c r="F76"/>
      <c r="G76"/>
      <c r="H76"/>
      <c r="I76"/>
      <c r="J76"/>
    </row>
    <row r="77" spans="1:10" customHeight="1">
      <c r="A77" s="4" t="s">
        <v>2948</v>
      </c>
      <c r="B77" s="4" t="s">
        <v>2949</v>
      </c>
      <c r="C77" s="4"/>
      <c r="D77" s="5" t="s">
        <v>2950</v>
      </c>
      <c r="E77" s="4" t="s">
        <v>2951</v>
      </c>
      <c r="F77"/>
      <c r="G77" s="6" t="s">
        <v>2952</v>
      </c>
      <c r="H77" s="6" t="s">
        <v>2953</v>
      </c>
      <c r="I77" s="4"/>
      <c r="J77" s="6">
        <f>IF(I77&gt;0,PRODUCT(660,I77),"")</f>
      </c>
    </row>
    <row r="78" spans="1:10" customHeight="1">
      <c r="A78" s="4"/>
      <c r="B78" s="4"/>
      <c r="C78" s="4"/>
      <c r="D78" s="7"/>
      <c r="E78" s="4"/>
      <c r="F78"/>
      <c r="G78" s="6" t="s">
        <v>2954</v>
      </c>
      <c r="H78" s="6" t="s">
        <v>2955</v>
      </c>
      <c r="I78" s="4"/>
      <c r="J78" s="6">
        <f>IF(I78&gt;0,PRODUCT(32820,I78),"")</f>
      </c>
    </row>
    <row r="79" spans="1:10" customHeight="1">
      <c r="A79" s="4"/>
      <c r="B79" s="4"/>
      <c r="C79" s="4"/>
      <c r="D79" s="7"/>
      <c r="E79" s="4"/>
      <c r="F79"/>
      <c r="G79" s="6" t="s">
        <v>2956</v>
      </c>
      <c r="H79" s="6" t="s">
        <v>2957</v>
      </c>
      <c r="I79" s="4"/>
      <c r="J79" s="6">
        <f>IF(I79&gt;0,PRODUCT(2570,I79),"")</f>
      </c>
    </row>
    <row r="80" spans="1:10" customHeight="1">
      <c r="A80" s="4"/>
      <c r="B80" s="4"/>
      <c r="C80" s="4"/>
      <c r="D80" s="7"/>
      <c r="E80" s="4"/>
      <c r="F80"/>
      <c r="G80" s="6" t="s">
        <v>2958</v>
      </c>
      <c r="H80" s="6" t="s">
        <v>2959</v>
      </c>
      <c r="I80" s="4"/>
      <c r="J80" s="6">
        <f>IF(I80&gt;0,PRODUCT(525,I80),"")</f>
      </c>
    </row>
    <row r="81" spans="1:10" customHeight="1">
      <c r="A81" s="4"/>
      <c r="B81" s="4"/>
      <c r="C81" s="4"/>
      <c r="D81" s="7"/>
      <c r="E81" s="4"/>
      <c r="F81"/>
      <c r="G81" s="6" t="s">
        <v>2960</v>
      </c>
      <c r="H81" s="6" t="s">
        <v>2961</v>
      </c>
      <c r="I81" s="4"/>
      <c r="J81" s="6">
        <f>IF(I81&gt;0,PRODUCT(1635,I81),"")</f>
      </c>
    </row>
    <row r="82" spans="1:10" customHeight="1">
      <c r="A82" s="4"/>
      <c r="B82" s="4"/>
      <c r="C82" s="4"/>
      <c r="D82" s="7"/>
      <c r="E82" s="4"/>
      <c r="F82"/>
      <c r="G82" s="6" t="s">
        <v>2962</v>
      </c>
      <c r="H82" s="6" t="s">
        <v>2963</v>
      </c>
      <c r="I82" s="4"/>
      <c r="J82" s="6">
        <f>IF(I82&gt;0,PRODUCT(17895,I82),"")</f>
      </c>
    </row>
    <row r="83" spans="1:10" customHeight="1">
      <c r="A83" s="4"/>
      <c r="B83" s="4"/>
      <c r="C83" s="4"/>
      <c r="D83" s="7"/>
      <c r="E83" s="4"/>
      <c r="F83"/>
      <c r="G83" s="6"/>
      <c r="H83" s="6" t="s">
        <v>2964</v>
      </c>
      <c r="I83" s="4"/>
      <c r="J83" s="6">
        <f>IF(I83&gt;0,PRODUCT(660,I83),"")</f>
      </c>
    </row>
    <row r="84" spans="1:10" customHeight="1">
      <c r="A84" s="4" t="s">
        <v>2965</v>
      </c>
      <c r="B84" s="4"/>
      <c r="C84" s="4"/>
      <c r="D84" s="5" t="s">
        <v>2966</v>
      </c>
      <c r="E84" s="4" t="s">
        <v>2967</v>
      </c>
      <c r="F84"/>
      <c r="G84" s="6" t="s">
        <v>2968</v>
      </c>
      <c r="H84" s="6" t="s">
        <v>2969</v>
      </c>
      <c r="I84" s="4"/>
      <c r="J84" s="6">
        <f>IF(I84&gt;0,PRODUCT(2690,I84),"")</f>
      </c>
    </row>
    <row r="85" spans="1:10" customHeight="1">
      <c r="A85" s="4"/>
      <c r="B85" s="4"/>
      <c r="C85" s="4"/>
      <c r="D85" s="7"/>
      <c r="E85" s="4"/>
      <c r="F85"/>
      <c r="G85" s="6" t="s">
        <v>2970</v>
      </c>
      <c r="H85" s="6" t="s">
        <v>2971</v>
      </c>
      <c r="I85" s="4"/>
      <c r="J85" s="6">
        <f>IF(I85&gt;0,PRODUCT(360,I85),"")</f>
      </c>
    </row>
    <row r="86" spans="1:10" customHeight="1">
      <c r="A86" s="4"/>
      <c r="B86" s="4"/>
      <c r="C86" s="4"/>
      <c r="D86" s="7"/>
      <c r="E86" s="4"/>
      <c r="F86"/>
      <c r="G86" s="6" t="s">
        <v>2972</v>
      </c>
      <c r="H86" s="6" t="s">
        <v>2973</v>
      </c>
      <c r="I86" s="4"/>
      <c r="J86" s="6">
        <f>IF(I86&gt;0,PRODUCT(32820,I86),"")</f>
      </c>
    </row>
    <row r="87" spans="1:10" customHeight="1">
      <c r="A87" s="4"/>
      <c r="B87" s="4"/>
      <c r="C87" s="4"/>
      <c r="D87" s="7"/>
      <c r="E87" s="4"/>
      <c r="F87"/>
      <c r="G87" s="6" t="s">
        <v>2974</v>
      </c>
      <c r="H87" s="6" t="s">
        <v>2975</v>
      </c>
      <c r="I87" s="4"/>
      <c r="J87" s="6">
        <f>IF(I87&gt;0,PRODUCT(2690,I87),"")</f>
      </c>
    </row>
    <row r="88" spans="1:10" customHeight="1">
      <c r="A88" s="4"/>
      <c r="B88" s="4"/>
      <c r="C88" s="4"/>
      <c r="D88" s="7"/>
      <c r="E88" s="4"/>
      <c r="F88"/>
      <c r="G88" s="6" t="s">
        <v>2976</v>
      </c>
      <c r="H88" s="6" t="s">
        <v>2977</v>
      </c>
      <c r="I88" s="4"/>
      <c r="J88" s="6">
        <f>IF(I88&gt;0,PRODUCT(1435,I88),"")</f>
      </c>
    </row>
    <row r="89" spans="1:10" customHeight="1">
      <c r="A89" s="4"/>
      <c r="B89" s="4"/>
      <c r="C89" s="4"/>
      <c r="D89" s="7"/>
      <c r="E89" s="4"/>
      <c r="F89"/>
      <c r="G89" s="6" t="s">
        <v>2978</v>
      </c>
      <c r="H89" s="6" t="s">
        <v>2979</v>
      </c>
      <c r="I89" s="4"/>
      <c r="J89" s="6">
        <f>IF(I89&gt;0,PRODUCT(17895,I89),"")</f>
      </c>
    </row>
    <row r="90" spans="1:10" customHeight="1">
      <c r="A90" s="4"/>
      <c r="B90" s="4"/>
      <c r="C90" s="4"/>
      <c r="D90" s="7"/>
      <c r="E90" s="4"/>
      <c r="F90"/>
      <c r="G90" s="6"/>
      <c r="H90" s="6" t="s">
        <v>2980</v>
      </c>
      <c r="I90" s="4"/>
      <c r="J90" s="6">
        <f>IF(I90&gt;0,PRODUCT(2690,I90),"")</f>
      </c>
    </row>
    <row r="91" spans="1:10" customHeight="1">
      <c r="A91" s="4" t="s">
        <v>2981</v>
      </c>
      <c r="B91" s="4" t="s">
        <v>2982</v>
      </c>
      <c r="C91" s="4"/>
      <c r="D91" s="5" t="s">
        <v>2983</v>
      </c>
      <c r="E91" s="4" t="s">
        <v>2984</v>
      </c>
      <c r="F91" t="s">
        <v>2985</v>
      </c>
      <c r="G91" s="6" t="s">
        <v>2986</v>
      </c>
      <c r="H91" s="6" t="s">
        <v>2987</v>
      </c>
      <c r="I91" s="4"/>
      <c r="J91" s="6">
        <f>IF(I91&gt;0,PRODUCT(350,I91),"")</f>
      </c>
    </row>
    <row r="92" spans="1:10" customHeight="1">
      <c r="A92" s="4"/>
      <c r="B92" s="4"/>
      <c r="C92" s="4"/>
      <c r="D92" s="7"/>
      <c r="E92" s="4"/>
      <c r="F92"/>
      <c r="G92" s="6" t="s">
        <v>2988</v>
      </c>
      <c r="H92" s="6" t="s">
        <v>2989</v>
      </c>
      <c r="I92" s="4"/>
      <c r="J92" s="6">
        <f>IF(I92&gt;0,PRODUCT(450,I92),"")</f>
      </c>
    </row>
    <row r="93" spans="1:10" customHeight="1">
      <c r="A93" s="4"/>
      <c r="B93" s="4"/>
      <c r="C93" s="4"/>
      <c r="D93" s="7"/>
      <c r="E93" s="4"/>
      <c r="F93"/>
      <c r="G93" s="6" t="s">
        <v>2990</v>
      </c>
      <c r="H93" s="6" t="s">
        <v>2991</v>
      </c>
      <c r="I93" s="4"/>
      <c r="J93" s="6">
        <f>IF(I93&gt;0,PRODUCT(750,I93),"")</f>
      </c>
    </row>
    <row r="94" spans="1:10" customHeight="1">
      <c r="A94" s="4"/>
      <c r="B94" s="4"/>
      <c r="C94" s="4"/>
      <c r="D94" s="7"/>
      <c r="E94" s="4"/>
      <c r="F94"/>
      <c r="G94" s="6" t="s">
        <v>2992</v>
      </c>
      <c r="H94" s="6" t="s">
        <v>2993</v>
      </c>
      <c r="I94" s="4"/>
      <c r="J94" s="6">
        <f>IF(I94&gt;0,PRODUCT(3990,I94),"")</f>
      </c>
    </row>
    <row r="95" spans="1:10" customHeight="1">
      <c r="A95" s="4"/>
      <c r="B95" s="4"/>
      <c r="C95" s="4"/>
      <c r="D95" s="7"/>
      <c r="E95" s="4"/>
      <c r="F95"/>
      <c r="G95" s="6" t="s">
        <v>2994</v>
      </c>
      <c r="H95" s="6" t="s">
        <v>2995</v>
      </c>
      <c r="I95" s="4"/>
      <c r="J95" s="6">
        <f>IF(I95&gt;0,PRODUCT(7800,I95),"")</f>
      </c>
    </row>
    <row r="96" spans="1:10" customHeight="1">
      <c r="A96" s="4"/>
      <c r="B96" s="4"/>
      <c r="C96" s="4"/>
      <c r="D96" s="7"/>
      <c r="E96" s="4"/>
      <c r="F96"/>
      <c r="G96" s="6" t="s">
        <v>2996</v>
      </c>
      <c r="H96" s="6" t="s">
        <v>2997</v>
      </c>
      <c r="I96" s="4"/>
      <c r="J96" s="6">
        <f>IF(I96&gt;0,PRODUCT(2950,I96),"")</f>
      </c>
    </row>
    <row r="97" spans="1:10" ht="30.5" customHeight="1">
      <c r="A97" s="4" t="s">
        <v>2998</v>
      </c>
      <c r="B97" s="4"/>
      <c r="C97" s="4"/>
      <c r="D97" s="5" t="s">
        <v>2999</v>
      </c>
      <c r="E97" s="4"/>
      <c r="F97" t="s">
        <v>3000</v>
      </c>
      <c r="G97" s="6" t="s">
        <v>3001</v>
      </c>
      <c r="H97" s="6" t="s">
        <v>3002</v>
      </c>
      <c r="I97" s="4"/>
      <c r="J97" s="6">
        <f>IF(I97&gt;0,PRODUCT(180,I97),"")</f>
      </c>
    </row>
    <row r="98" spans="1:10" ht="30.5" customHeight="1">
      <c r="A98" s="4"/>
      <c r="B98" s="4"/>
      <c r="C98" s="4"/>
      <c r="D98" s="7"/>
      <c r="E98" s="4"/>
      <c r="F98"/>
      <c r="G98" s="6" t="s">
        <v>3003</v>
      </c>
      <c r="H98" s="6" t="s">
        <v>3004</v>
      </c>
      <c r="I98" s="4"/>
      <c r="J98" s="6">
        <f>IF(I98&gt;0,PRODUCT(735,I98),"")</f>
      </c>
    </row>
    <row r="99" spans="1:10" ht="15" customHeight="1">
      <c r="A99" s="4" t="s">
        <v>3005</v>
      </c>
      <c r="B99" s="4" t="s">
        <v>3006</v>
      </c>
      <c r="C99" s="4"/>
      <c r="D99" s="5" t="s">
        <v>3007</v>
      </c>
      <c r="E99" s="4"/>
      <c r="F99"/>
      <c r="G99" s="6" t="s">
        <v>3008</v>
      </c>
      <c r="H99" s="6" t="s">
        <v>3009</v>
      </c>
      <c r="I99" s="4"/>
      <c r="J99" s="6">
        <f>IF(I99&gt;0,PRODUCT(2000,I99),"")</f>
      </c>
    </row>
    <row r="100" spans="1:10" ht="15" customHeight="1">
      <c r="A100" s="4"/>
      <c r="B100" s="4"/>
      <c r="C100" s="4"/>
      <c r="D100" s="7"/>
      <c r="E100" s="4"/>
      <c r="F100"/>
      <c r="G100" s="6" t="s">
        <v>3010</v>
      </c>
      <c r="H100" s="6" t="s">
        <v>3011</v>
      </c>
      <c r="I100" s="4"/>
      <c r="J100" s="6">
        <f>IF(I100&gt;0,PRODUCT(380,I100),"")</f>
      </c>
    </row>
    <row r="101" spans="1:10" ht="15" customHeight="1">
      <c r="A101" s="4"/>
      <c r="B101" s="4"/>
      <c r="C101" s="4"/>
      <c r="D101" s="7"/>
      <c r="E101" s="4"/>
      <c r="F101"/>
      <c r="G101" s="6" t="s">
        <v>3012</v>
      </c>
      <c r="H101" s="6" t="s">
        <v>3013</v>
      </c>
      <c r="I101" s="4"/>
      <c r="J101" s="6">
        <f>IF(I101&gt;0,PRODUCT(380,I101),"")</f>
      </c>
    </row>
    <row r="102" spans="1:10" ht="15" customHeight="1">
      <c r="A102" s="4"/>
      <c r="B102" s="4"/>
      <c r="C102" s="4"/>
      <c r="D102" s="7"/>
      <c r="E102" s="4"/>
      <c r="F102"/>
      <c r="G102" s="6" t="s">
        <v>3014</v>
      </c>
      <c r="H102" s="6" t="s">
        <v>3015</v>
      </c>
      <c r="I102" s="4"/>
      <c r="J102" s="6">
        <f>IF(I102&gt;0,PRODUCT(380,I102),"")</f>
      </c>
    </row>
    <row r="103" spans="1:10" ht="15" customHeight="1">
      <c r="A103" s="4"/>
      <c r="B103" s="4"/>
      <c r="C103" s="4"/>
      <c r="D103" s="7"/>
      <c r="E103" s="4"/>
      <c r="F103"/>
      <c r="G103" s="6" t="s">
        <v>3016</v>
      </c>
      <c r="H103" s="6" t="s">
        <v>3017</v>
      </c>
      <c r="I103" s="4"/>
      <c r="J103" s="6">
        <f>IF(I103&gt;0,PRODUCT(5545,I103),"")</f>
      </c>
    </row>
    <row r="104" spans="1:10" ht="16" customHeight="1">
      <c r="A104" s="4"/>
      <c r="B104" s="4"/>
      <c r="C104" s="4"/>
      <c r="D104" s="7"/>
      <c r="E104" s="4"/>
      <c r="F104"/>
      <c r="G104" s="6" t="s">
        <v>3018</v>
      </c>
      <c r="H104" s="6" t="s">
        <v>3019</v>
      </c>
      <c r="I104" s="4"/>
      <c r="J104" s="6">
        <f>IF(I104&gt;0,PRODUCT(1090,I104),"")</f>
      </c>
    </row>
    <row r="105" spans="1:10" customHeight="1">
      <c r="A105" t="s">
        <v>3020</v>
      </c>
      <c r="B105"/>
      <c r="C105"/>
      <c r="D105"/>
      <c r="E105"/>
      <c r="F105"/>
      <c r="G105"/>
      <c r="H105"/>
      <c r="I105"/>
      <c r="J105"/>
    </row>
    <row r="106" spans="1:10" ht="68.8" customHeight="1">
      <c r="A106" s="4" t="s">
        <v>3021</v>
      </c>
      <c r="B106" s="4" t="s">
        <v>3022</v>
      </c>
      <c r="C106" s="4"/>
      <c r="D106" s="5" t="s">
        <v>3023</v>
      </c>
      <c r="E106" s="4" t="s">
        <v>3024</v>
      </c>
      <c r="F106"/>
      <c r="G106" s="6" t="s">
        <v>3025</v>
      </c>
      <c r="H106" s="6" t="s">
        <v>3026</v>
      </c>
      <c r="I106" s="4"/>
      <c r="J106" s="6">
        <f>IF(I106&gt;0,PRODUCT(3570,I106),"")</f>
      </c>
    </row>
    <row r="107" spans="1:10" s="1" customFormat="1" customHeight="1">
      <c r="A107" s="3" t="s">
        <v>3027</v>
      </c>
      <c r="B107" s="3"/>
      <c r="C107" s="3"/>
      <c r="D107" s="3"/>
      <c r="E107" s="3"/>
      <c r="F107" s="3"/>
      <c r="G107" s="3"/>
      <c r="H107" s="3"/>
      <c r="I107" s="3"/>
      <c r="J107" s="3"/>
    </row>
    <row r="108" spans="1:10" customHeight="1">
      <c r="A108" t="s">
        <v>3028</v>
      </c>
      <c r="B108"/>
      <c r="C108"/>
      <c r="D108"/>
      <c r="E108"/>
      <c r="F108"/>
      <c r="G108"/>
      <c r="H108"/>
      <c r="I108"/>
      <c r="J108"/>
    </row>
    <row r="109" spans="1:10" ht="73" customHeight="1">
      <c r="A109" s="4" t="s">
        <v>3029</v>
      </c>
      <c r="B109" s="4" t="s">
        <v>3030</v>
      </c>
      <c r="C109" s="4"/>
      <c r="D109" s="5" t="s">
        <v>3031</v>
      </c>
      <c r="E109" s="4"/>
      <c r="F109" t="s">
        <v>3032</v>
      </c>
      <c r="G109" s="6" t="s">
        <v>3033</v>
      </c>
      <c r="H109" s="6" t="s">
        <v>3034</v>
      </c>
      <c r="I109" s="4"/>
      <c r="J109" s="6">
        <f>IF(I109&gt;0,PRODUCT(3000,I109),"")</f>
      </c>
    </row>
    <row r="110" spans="1:10" customHeight="1">
      <c r="A110" t="s">
        <v>3035</v>
      </c>
      <c r="B110"/>
      <c r="C110"/>
      <c r="D110"/>
      <c r="E110"/>
      <c r="F110"/>
      <c r="G110"/>
      <c r="H110"/>
      <c r="I110"/>
      <c r="J110"/>
    </row>
    <row r="111" spans="1:10" ht="41.8" customHeight="1">
      <c r="A111" s="4" t="s">
        <v>3036</v>
      </c>
      <c r="B111" s="4" t="s">
        <v>3037</v>
      </c>
      <c r="C111" s="4"/>
      <c r="D111" s="5" t="s">
        <v>3038</v>
      </c>
      <c r="E111" s="4"/>
      <c r="F111"/>
      <c r="G111" s="6" t="s">
        <v>3039</v>
      </c>
      <c r="H111" s="6" t="s">
        <v>3040</v>
      </c>
      <c r="I111" s="4"/>
      <c r="J111" s="6">
        <f>IF(I111&gt;0,PRODUCT(4990,I111),"")</f>
      </c>
    </row>
    <row r="112" spans="1:10" ht="59.8" customHeight="1">
      <c r="A112" s="4" t="s">
        <v>3041</v>
      </c>
      <c r="B112" s="4" t="s">
        <v>3042</v>
      </c>
      <c r="C112" s="4"/>
      <c r="D112" s="5" t="s">
        <v>3043</v>
      </c>
      <c r="E112" s="4"/>
      <c r="F112"/>
      <c r="G112" s="6" t="s">
        <v>3044</v>
      </c>
      <c r="H112" s="6" t="s">
        <v>3045</v>
      </c>
      <c r="I112" s="4"/>
      <c r="J112" s="6">
        <f>IF(I112&gt;0,PRODUCT(3400,I112),"")</f>
      </c>
    </row>
    <row r="113" spans="1:10" customHeight="1">
      <c r="A113" t="s">
        <v>3046</v>
      </c>
      <c r="B113"/>
      <c r="C113"/>
      <c r="D113"/>
      <c r="E113"/>
      <c r="F113"/>
      <c r="G113"/>
      <c r="H113"/>
      <c r="I113"/>
      <c r="J113"/>
    </row>
    <row r="114" spans="1:10" ht="68.8" customHeight="1">
      <c r="A114" s="4" t="s">
        <v>3047</v>
      </c>
      <c r="B114" s="4" t="s">
        <v>3048</v>
      </c>
      <c r="C114" s="4"/>
      <c r="D114" s="5" t="s">
        <v>3049</v>
      </c>
      <c r="E114" s="4"/>
      <c r="F114"/>
      <c r="G114" s="6" t="s">
        <v>3050</v>
      </c>
      <c r="H114" s="6" t="s">
        <v>3051</v>
      </c>
      <c r="I114" s="4"/>
      <c r="J114" s="6">
        <f>IF(I114&gt;0,PRODUCT(3240,I114),"")</f>
      </c>
    </row>
    <row r="115" spans="1:10" ht="58.6" customHeight="1">
      <c r="A115" s="4" t="s">
        <v>3052</v>
      </c>
      <c r="B115" s="4" t="s">
        <v>3053</v>
      </c>
      <c r="C115" s="4"/>
      <c r="D115" s="5" t="s">
        <v>3054</v>
      </c>
      <c r="E115" s="4"/>
      <c r="F115"/>
      <c r="G115" s="6" t="s">
        <v>3055</v>
      </c>
      <c r="H115" s="6" t="s">
        <v>3056</v>
      </c>
      <c r="I115" s="4"/>
      <c r="J115" s="6">
        <f>IF(I115&gt;0,PRODUCT(5510,I115),"")</f>
      </c>
    </row>
    <row r="116" spans="1:10" ht="68.8" customHeight="1">
      <c r="A116" s="4" t="s">
        <v>3057</v>
      </c>
      <c r="B116" s="4" t="s">
        <v>3058</v>
      </c>
      <c r="C116" s="4"/>
      <c r="D116" s="5" t="s">
        <v>3059</v>
      </c>
      <c r="E116" s="4"/>
      <c r="F116" t="s">
        <v>3060</v>
      </c>
      <c r="G116" s="6" t="s">
        <v>3061</v>
      </c>
      <c r="H116" s="6" t="s">
        <v>3062</v>
      </c>
      <c r="I116" s="4"/>
      <c r="J116" s="6">
        <f>IF(I116&gt;0,PRODUCT(3620,I116),"")</f>
      </c>
    </row>
    <row r="117" spans="1:10" ht="68.8" customHeight="1">
      <c r="A117" s="4" t="s">
        <v>3063</v>
      </c>
      <c r="B117" s="4" t="s">
        <v>3064</v>
      </c>
      <c r="C117" s="4"/>
      <c r="D117" s="5" t="s">
        <v>3065</v>
      </c>
      <c r="E117" s="4"/>
      <c r="F117" t="s">
        <v>3066</v>
      </c>
      <c r="G117" s="6" t="s">
        <v>3067</v>
      </c>
      <c r="H117" s="6" t="s">
        <v>3068</v>
      </c>
      <c r="I117" s="4"/>
      <c r="J117" s="6">
        <f>IF(I117&gt;0,PRODUCT(3850,I117),"")</f>
      </c>
    </row>
    <row r="118" spans="1:10" ht="91" customHeight="1">
      <c r="A118" s="4" t="s">
        <v>3069</v>
      </c>
      <c r="B118" s="4" t="s">
        <v>3070</v>
      </c>
      <c r="C118" s="4"/>
      <c r="D118" s="5" t="s">
        <v>3071</v>
      </c>
      <c r="E118" s="4"/>
      <c r="F118"/>
      <c r="G118" s="6" t="s">
        <v>3072</v>
      </c>
      <c r="H118" s="6" t="s">
        <v>3073</v>
      </c>
      <c r="I118" s="4"/>
      <c r="J118" s="6">
        <f>IF(I118&gt;0,PRODUCT(4110,I118),"")</f>
      </c>
    </row>
    <row r="119" spans="1:10" customHeight="1">
      <c r="A119" t="s">
        <v>3074</v>
      </c>
      <c r="B119"/>
      <c r="C119"/>
      <c r="D119"/>
      <c r="E119"/>
      <c r="F119"/>
      <c r="G119"/>
      <c r="H119"/>
      <c r="I119"/>
      <c r="J119"/>
    </row>
    <row r="120" spans="1:10" ht="91" customHeight="1">
      <c r="A120" s="4" t="s">
        <v>3075</v>
      </c>
      <c r="B120" s="4" t="s">
        <v>3076</v>
      </c>
      <c r="C120" s="4"/>
      <c r="D120" s="5" t="s">
        <v>3077</v>
      </c>
      <c r="E120" s="4"/>
      <c r="F120" t="s">
        <v>3078</v>
      </c>
      <c r="G120" s="6" t="s">
        <v>3079</v>
      </c>
      <c r="H120" s="6" t="s">
        <v>3080</v>
      </c>
      <c r="I120" s="4"/>
      <c r="J120" s="6">
        <f>IF(I120&gt;0,PRODUCT(3590,I120),"")</f>
      </c>
    </row>
    <row r="121" spans="1:10" ht="51.4" customHeight="1">
      <c r="A121" s="4" t="s">
        <v>3081</v>
      </c>
      <c r="B121" s="4" t="s">
        <v>3082</v>
      </c>
      <c r="C121" s="4"/>
      <c r="D121" s="5" t="s">
        <v>3083</v>
      </c>
      <c r="E121" s="4"/>
      <c r="F121" t="s">
        <v>3084</v>
      </c>
      <c r="G121" s="6" t="s">
        <v>3085</v>
      </c>
      <c r="H121" s="6" t="s">
        <v>3086</v>
      </c>
      <c r="I121" s="4"/>
      <c r="J121" s="6">
        <f>IF(I121&gt;0,PRODUCT(11445,I121),"")</f>
      </c>
    </row>
    <row r="122" spans="1:10" ht="86.8" customHeight="1">
      <c r="A122" s="4" t="s">
        <v>3087</v>
      </c>
      <c r="B122" s="4" t="s">
        <v>3088</v>
      </c>
      <c r="C122" s="4"/>
      <c r="D122" s="5" t="s">
        <v>3089</v>
      </c>
      <c r="E122" s="4"/>
      <c r="F122"/>
      <c r="G122" s="6" t="s">
        <v>3090</v>
      </c>
      <c r="H122" s="6" t="s">
        <v>3091</v>
      </c>
      <c r="I122" s="4"/>
      <c r="J122" s="6">
        <f>IF(I122&gt;0,PRODUCT(3950,I122),"")</f>
      </c>
    </row>
    <row r="123" spans="1:10" ht="91" customHeight="1">
      <c r="A123" s="4" t="s">
        <v>3092</v>
      </c>
      <c r="B123" s="4" t="s">
        <v>3093</v>
      </c>
      <c r="C123" s="4"/>
      <c r="D123" s="5" t="s">
        <v>3094</v>
      </c>
      <c r="E123" s="4"/>
      <c r="F123"/>
      <c r="G123" s="6" t="s">
        <v>3095</v>
      </c>
      <c r="H123" s="6" t="s">
        <v>3096</v>
      </c>
      <c r="I123" s="4"/>
      <c r="J123" s="6">
        <f>IF(I123&gt;0,PRODUCT(3980,I123),"")</f>
      </c>
    </row>
    <row r="124" spans="1:10" ht="91" customHeight="1">
      <c r="A124" s="4" t="s">
        <v>3097</v>
      </c>
      <c r="B124" s="4" t="s">
        <v>3098</v>
      </c>
      <c r="C124" s="4"/>
      <c r="D124" s="5" t="s">
        <v>3099</v>
      </c>
      <c r="E124" s="4"/>
      <c r="F124" t="s">
        <v>3100</v>
      </c>
      <c r="G124" s="6" t="s">
        <v>3101</v>
      </c>
      <c r="H124" s="6" t="s">
        <v>3102</v>
      </c>
      <c r="I124" s="4"/>
      <c r="J124" s="6">
        <f>IF(I124&gt;0,PRODUCT(5120,I124),"")</f>
      </c>
    </row>
    <row r="125" spans="1:10" ht="60.4" customHeight="1">
      <c r="A125" s="4" t="s">
        <v>3103</v>
      </c>
      <c r="B125" s="4" t="s">
        <v>3104</v>
      </c>
      <c r="C125" s="4"/>
      <c r="D125" s="5" t="s">
        <v>3105</v>
      </c>
      <c r="E125" s="4"/>
      <c r="F125"/>
      <c r="G125" s="6" t="s">
        <v>3106</v>
      </c>
      <c r="H125" s="6" t="s">
        <v>3107</v>
      </c>
      <c r="I125" s="4"/>
      <c r="J125" s="6">
        <f>IF(I125&gt;0,PRODUCT(2505,I125),"")</f>
      </c>
    </row>
    <row r="126" spans="1:10" customHeight="1">
      <c r="A126" t="s">
        <v>3108</v>
      </c>
      <c r="B126"/>
      <c r="C126"/>
      <c r="D126"/>
      <c r="E126"/>
      <c r="F126"/>
      <c r="G126"/>
      <c r="H126"/>
      <c r="I126"/>
      <c r="J126"/>
    </row>
    <row r="127" spans="1:10" ht="91" customHeight="1">
      <c r="A127" s="4" t="s">
        <v>3109</v>
      </c>
      <c r="B127" s="4" t="s">
        <v>3110</v>
      </c>
      <c r="C127" s="4"/>
      <c r="D127" s="5" t="s">
        <v>3111</v>
      </c>
      <c r="E127" s="4"/>
      <c r="F127"/>
      <c r="G127" s="6" t="s">
        <v>3112</v>
      </c>
      <c r="H127" s="6" t="s">
        <v>3113</v>
      </c>
      <c r="I127" s="4"/>
      <c r="J127" s="6">
        <f>IF(I127&gt;0,PRODUCT(6690,I127),"")</f>
      </c>
    </row>
    <row r="128" spans="1:10" ht="91" customHeight="1">
      <c r="A128" s="4" t="s">
        <v>3114</v>
      </c>
      <c r="B128" s="4" t="s">
        <v>3115</v>
      </c>
      <c r="C128" s="4"/>
      <c r="D128" s="5" t="s">
        <v>3116</v>
      </c>
      <c r="E128" s="4"/>
      <c r="F128"/>
      <c r="G128" s="6" t="s">
        <v>3117</v>
      </c>
      <c r="H128" s="6" t="s">
        <v>3118</v>
      </c>
      <c r="I128" s="4"/>
      <c r="J128" s="6">
        <f>IF(I128&gt;0,PRODUCT(3260,I128),"")</f>
      </c>
    </row>
    <row r="129" spans="1:10" customHeight="1">
      <c r="A129" t="s">
        <v>3119</v>
      </c>
      <c r="B129"/>
      <c r="C129"/>
      <c r="D129"/>
      <c r="E129"/>
      <c r="F129"/>
      <c r="G129"/>
      <c r="H129"/>
      <c r="I129"/>
      <c r="J129"/>
    </row>
    <row r="130" spans="1:10" ht="61" customHeight="1">
      <c r="A130" s="4" t="s">
        <v>3120</v>
      </c>
      <c r="B130" s="4" t="s">
        <v>3121</v>
      </c>
      <c r="C130" s="4"/>
      <c r="D130" s="5" t="s">
        <v>3122</v>
      </c>
      <c r="E130" s="4"/>
      <c r="F130" t="s">
        <v>3123</v>
      </c>
      <c r="G130" s="6" t="s">
        <v>3124</v>
      </c>
      <c r="H130" s="6" t="s">
        <v>3125</v>
      </c>
      <c r="I130" s="4"/>
      <c r="J130" s="6">
        <f>IF(I130&gt;0,PRODUCT(3160,I130),"")</f>
      </c>
    </row>
    <row r="131" spans="1:10" ht="68.2" customHeight="1">
      <c r="A131" s="4" t="s">
        <v>3126</v>
      </c>
      <c r="B131" s="4" t="s">
        <v>3127</v>
      </c>
      <c r="C131" s="4"/>
      <c r="D131" s="5" t="s">
        <v>3128</v>
      </c>
      <c r="E131" s="4"/>
      <c r="F131"/>
      <c r="G131" s="6" t="s">
        <v>3129</v>
      </c>
      <c r="H131" s="6" t="s">
        <v>3130</v>
      </c>
      <c r="I131" s="4"/>
      <c r="J131" s="6">
        <f>IF(I131&gt;0,PRODUCT(2850,I131),"")</f>
      </c>
    </row>
    <row r="132" spans="1:10" ht="91" customHeight="1">
      <c r="A132" s="4" t="s">
        <v>3131</v>
      </c>
      <c r="B132" s="4" t="s">
        <v>3132</v>
      </c>
      <c r="C132" s="4"/>
      <c r="D132" s="5" t="s">
        <v>3133</v>
      </c>
      <c r="E132" s="4" t="s">
        <v>3134</v>
      </c>
      <c r="F132"/>
      <c r="G132" s="6" t="s">
        <v>3135</v>
      </c>
      <c r="H132" s="6" t="s">
        <v>3136</v>
      </c>
      <c r="I132" s="4"/>
      <c r="J132" s="6">
        <f>IF(I132&gt;0,PRODUCT(3830,I132),"")</f>
      </c>
    </row>
    <row r="133" spans="1:10" ht="91" customHeight="1">
      <c r="A133" s="4" t="s">
        <v>3137</v>
      </c>
      <c r="B133" s="4" t="s">
        <v>3138</v>
      </c>
      <c r="C133" s="4"/>
      <c r="D133" s="5" t="s">
        <v>3139</v>
      </c>
      <c r="E133" s="4"/>
      <c r="F133" t="s">
        <v>3140</v>
      </c>
      <c r="G133" s="6" t="s">
        <v>3141</v>
      </c>
      <c r="H133" s="6" t="s">
        <v>3142</v>
      </c>
      <c r="I133" s="4"/>
      <c r="J133" s="6">
        <f>IF(I133&gt;0,PRODUCT(3820,I133),"")</f>
      </c>
    </row>
    <row r="134" spans="1:10" s="1" customFormat="1" customHeight="1">
      <c r="A134" s="3" t="s">
        <v>3143</v>
      </c>
      <c r="B134" s="3"/>
      <c r="C134" s="3"/>
      <c r="D134" s="3"/>
      <c r="E134" s="3"/>
      <c r="F134" s="3"/>
      <c r="G134" s="3"/>
      <c r="H134" s="3"/>
      <c r="I134" s="3"/>
      <c r="J134" s="3"/>
    </row>
    <row r="135" spans="1:10" customHeight="1">
      <c r="A135" t="s">
        <v>3144</v>
      </c>
      <c r="B135"/>
      <c r="C135"/>
      <c r="D135"/>
      <c r="E135"/>
      <c r="F135"/>
      <c r="G135"/>
      <c r="H135"/>
      <c r="I135"/>
      <c r="J135"/>
    </row>
    <row r="136" spans="1:10" ht="70" customHeight="1">
      <c r="A136" s="4" t="s">
        <v>3145</v>
      </c>
      <c r="B136" s="4" t="s">
        <v>3146</v>
      </c>
      <c r="C136" s="4"/>
      <c r="D136" s="5" t="s">
        <v>3147</v>
      </c>
      <c r="E136" s="4" t="s">
        <v>3148</v>
      </c>
      <c r="F136" t="s">
        <v>3149</v>
      </c>
      <c r="G136" s="6" t="s">
        <v>3150</v>
      </c>
      <c r="H136" s="6" t="s">
        <v>3151</v>
      </c>
      <c r="I136" s="4"/>
      <c r="J136" s="6">
        <f>IF(I136&gt;0,PRODUCT(6710,I136),"")</f>
      </c>
    </row>
    <row r="137" spans="1:10" ht="91" customHeight="1">
      <c r="A137" s="4" t="s">
        <v>3152</v>
      </c>
      <c r="B137" s="4" t="s">
        <v>3153</v>
      </c>
      <c r="C137" s="4"/>
      <c r="D137" s="5" t="s">
        <v>3154</v>
      </c>
      <c r="E137" s="4"/>
      <c r="F137" t="s">
        <v>3155</v>
      </c>
      <c r="G137" s="6" t="s">
        <v>3156</v>
      </c>
      <c r="H137" s="6" t="s">
        <v>3157</v>
      </c>
      <c r="I137" s="4"/>
      <c r="J137" s="6">
        <f>IF(I137&gt;0,PRODUCT(8050,I137),"")</f>
      </c>
    </row>
    <row r="138" spans="1:10" ht="61" customHeight="1">
      <c r="A138" s="4" t="s">
        <v>3158</v>
      </c>
      <c r="B138" s="4" t="s">
        <v>3159</v>
      </c>
      <c r="C138" s="4"/>
      <c r="D138" s="5" t="s">
        <v>3160</v>
      </c>
      <c r="E138" s="4"/>
      <c r="F138"/>
      <c r="G138" s="6" t="s">
        <v>3161</v>
      </c>
      <c r="H138" s="6" t="s">
        <v>3162</v>
      </c>
      <c r="I138" s="4"/>
      <c r="J138" s="6">
        <f>IF(I138&gt;0,PRODUCT(5610,I138),"")</f>
      </c>
    </row>
    <row r="139" spans="1:10" ht="67.6" customHeight="1">
      <c r="A139" s="4" t="s">
        <v>3163</v>
      </c>
      <c r="B139" s="4" t="s">
        <v>3164</v>
      </c>
      <c r="C139" s="4"/>
      <c r="D139" s="5" t="s">
        <v>3165</v>
      </c>
      <c r="E139" s="4"/>
      <c r="F139" t="s">
        <v>3166</v>
      </c>
      <c r="G139" s="6" t="s">
        <v>3167</v>
      </c>
      <c r="H139" s="6" t="s">
        <v>3168</v>
      </c>
      <c r="I139" s="4"/>
      <c r="J139" s="6">
        <f>IF(I139&gt;0,PRODUCT(4530,I139),"")</f>
      </c>
    </row>
    <row r="140" spans="1:10" ht="53.2" customHeight="1">
      <c r="A140" s="4" t="s">
        <v>3169</v>
      </c>
      <c r="B140" s="4" t="s">
        <v>3170</v>
      </c>
      <c r="C140" s="4"/>
      <c r="D140" s="5" t="s">
        <v>3171</v>
      </c>
      <c r="E140" s="4"/>
      <c r="F140" t="s">
        <v>3172</v>
      </c>
      <c r="G140" s="6" t="s">
        <v>3173</v>
      </c>
      <c r="H140" s="6" t="s">
        <v>3174</v>
      </c>
      <c r="I140" s="4"/>
      <c r="J140" s="6">
        <f>IF(I140&gt;0,PRODUCT(6760,I140),"")</f>
      </c>
    </row>
    <row r="141" spans="1:10" ht="67" customHeight="1">
      <c r="A141" s="4" t="s">
        <v>3175</v>
      </c>
      <c r="B141" s="4" t="s">
        <v>3176</v>
      </c>
      <c r="C141" s="4"/>
      <c r="D141" s="5" t="s">
        <v>3177</v>
      </c>
      <c r="E141" s="4"/>
      <c r="F141" t="s">
        <v>3178</v>
      </c>
      <c r="G141" s="6" t="s">
        <v>3179</v>
      </c>
      <c r="H141" s="6" t="s">
        <v>3180</v>
      </c>
      <c r="I141" s="4"/>
      <c r="J141" s="6">
        <f>IF(I141&gt;0,PRODUCT(4000,I141),"")</f>
      </c>
    </row>
    <row r="142" spans="1:10" ht="91" customHeight="1">
      <c r="A142" s="4" t="s">
        <v>3181</v>
      </c>
      <c r="B142" s="4" t="s">
        <v>3182</v>
      </c>
      <c r="C142" s="4"/>
      <c r="D142" s="5" t="s">
        <v>3183</v>
      </c>
      <c r="E142" s="4" t="s">
        <v>3184</v>
      </c>
      <c r="F142" t="s">
        <v>3185</v>
      </c>
      <c r="G142" s="6" t="s">
        <v>3186</v>
      </c>
      <c r="H142" s="6" t="s">
        <v>3187</v>
      </c>
      <c r="I142" s="4"/>
      <c r="J142" s="6">
        <f>IF(I142&gt;0,PRODUCT(8920,I142),"")</f>
      </c>
    </row>
    <row r="143" spans="1:10" ht="68.8" customHeight="1">
      <c r="A143" s="4" t="s">
        <v>3188</v>
      </c>
      <c r="B143" s="4" t="s">
        <v>3189</v>
      </c>
      <c r="C143" s="4"/>
      <c r="D143" s="5" t="s">
        <v>3190</v>
      </c>
      <c r="E143" s="4"/>
      <c r="F143"/>
      <c r="G143" s="6" t="s">
        <v>3191</v>
      </c>
      <c r="H143" s="6" t="s">
        <v>3192</v>
      </c>
      <c r="I143" s="4"/>
      <c r="J143" s="6">
        <f>IF(I143&gt;0,PRODUCT(5590,I143),"")</f>
      </c>
    </row>
    <row r="144" spans="1:10" ht="73" customHeight="1">
      <c r="A144" s="4" t="s">
        <v>3193</v>
      </c>
      <c r="B144" s="4" t="s">
        <v>3194</v>
      </c>
      <c r="C144" s="4"/>
      <c r="D144" s="5" t="s">
        <v>3195</v>
      </c>
      <c r="E144" s="4" t="s">
        <v>3196</v>
      </c>
      <c r="F144"/>
      <c r="G144" s="6" t="s">
        <v>3197</v>
      </c>
      <c r="H144" s="6" t="s">
        <v>3198</v>
      </c>
      <c r="I144" s="4"/>
      <c r="J144" s="6">
        <f>IF(I144&gt;0,PRODUCT(5500,I144),"")</f>
      </c>
    </row>
    <row r="145" spans="1:10" ht="91" customHeight="1">
      <c r="A145" s="4" t="s">
        <v>3199</v>
      </c>
      <c r="B145" s="4" t="s">
        <v>3200</v>
      </c>
      <c r="C145" s="4"/>
      <c r="D145" s="5" t="s">
        <v>3201</v>
      </c>
      <c r="E145" s="4"/>
      <c r="F145"/>
      <c r="G145" s="6" t="s">
        <v>3202</v>
      </c>
      <c r="H145" s="6" t="s">
        <v>3203</v>
      </c>
      <c r="I145" s="4"/>
      <c r="J145" s="6">
        <f>IF(I145&gt;0,PRODUCT(4810,I145),"")</f>
      </c>
    </row>
    <row r="146" spans="1:10" ht="91" customHeight="1">
      <c r="A146" s="4" t="s">
        <v>3204</v>
      </c>
      <c r="B146" s="4" t="s">
        <v>3205</v>
      </c>
      <c r="C146" s="4"/>
      <c r="D146" s="5" t="s">
        <v>3206</v>
      </c>
      <c r="E146" s="4"/>
      <c r="F146"/>
      <c r="G146" s="6" t="s">
        <v>3207</v>
      </c>
      <c r="H146" s="6" t="s">
        <v>3208</v>
      </c>
      <c r="I146" s="4"/>
      <c r="J146" s="6">
        <f>IF(I146&gt;0,PRODUCT(4340,I146),"")</f>
      </c>
    </row>
    <row r="147" spans="1:10" ht="67.6" customHeight="1">
      <c r="A147" s="4" t="s">
        <v>3209</v>
      </c>
      <c r="B147" s="4" t="s">
        <v>3210</v>
      </c>
      <c r="C147" s="4"/>
      <c r="D147" s="5" t="s">
        <v>3211</v>
      </c>
      <c r="E147" s="4"/>
      <c r="F147" t="s">
        <v>3212</v>
      </c>
      <c r="G147" s="6" t="s">
        <v>3213</v>
      </c>
      <c r="H147" s="6" t="s">
        <v>3214</v>
      </c>
      <c r="I147" s="4"/>
      <c r="J147" s="6">
        <f>IF(I147&gt;0,PRODUCT(7000,I147),"")</f>
      </c>
    </row>
    <row r="148" spans="1:10" ht="61" customHeight="1">
      <c r="A148" s="4" t="s">
        <v>3215</v>
      </c>
      <c r="B148" s="4" t="s">
        <v>3216</v>
      </c>
      <c r="C148" s="4"/>
      <c r="D148" s="5" t="s">
        <v>3217</v>
      </c>
      <c r="E148" s="4"/>
      <c r="F148" t="s">
        <v>3218</v>
      </c>
      <c r="G148" s="6" t="s">
        <v>3219</v>
      </c>
      <c r="H148" s="6" t="s">
        <v>3220</v>
      </c>
      <c r="I148" s="4"/>
      <c r="J148" s="6">
        <f>IF(I148&gt;0,PRODUCT(7220,I148),"")</f>
      </c>
    </row>
    <row r="149" spans="1:10" ht="91" customHeight="1">
      <c r="A149" s="4" t="s">
        <v>3221</v>
      </c>
      <c r="B149" s="4" t="s">
        <v>3222</v>
      </c>
      <c r="C149" s="4"/>
      <c r="D149" s="5" t="s">
        <v>3223</v>
      </c>
      <c r="E149" s="4"/>
      <c r="F149" t="s">
        <v>3224</v>
      </c>
      <c r="G149" s="6" t="s">
        <v>3225</v>
      </c>
      <c r="H149" s="6" t="s">
        <v>3226</v>
      </c>
      <c r="I149" s="4"/>
      <c r="J149" s="6">
        <f>IF(I149&gt;0,PRODUCT(5450,I149),"")</f>
      </c>
    </row>
    <row r="150" spans="1:10" ht="61" customHeight="1">
      <c r="A150" s="4" t="s">
        <v>3227</v>
      </c>
      <c r="B150" s="4" t="s">
        <v>3228</v>
      </c>
      <c r="C150" s="4"/>
      <c r="D150" s="5" t="s">
        <v>3229</v>
      </c>
      <c r="E150" s="4"/>
      <c r="F150" t="s">
        <v>3230</v>
      </c>
      <c r="G150" s="6" t="s">
        <v>3231</v>
      </c>
      <c r="H150" s="6" t="s">
        <v>3232</v>
      </c>
      <c r="I150" s="4"/>
      <c r="J150" s="6">
        <f>IF(I150&gt;0,PRODUCT(2750,I150),"")</f>
      </c>
    </row>
    <row r="151" spans="1:10" ht="91" customHeight="1">
      <c r="A151" s="4" t="s">
        <v>3233</v>
      </c>
      <c r="B151" s="4" t="s">
        <v>3234</v>
      </c>
      <c r="C151" s="4"/>
      <c r="D151" s="5" t="s">
        <v>3235</v>
      </c>
      <c r="E151" s="4"/>
      <c r="F151" t="s">
        <v>3236</v>
      </c>
      <c r="G151" s="6" t="s">
        <v>3237</v>
      </c>
      <c r="H151" s="6" t="s">
        <v>3238</v>
      </c>
      <c r="I151" s="4"/>
      <c r="J151" s="6">
        <f>IF(I151&gt;0,PRODUCT(5100,I151),"")</f>
      </c>
    </row>
    <row r="152" spans="1:10" ht="91" customHeight="1">
      <c r="A152" s="4" t="s">
        <v>3239</v>
      </c>
      <c r="B152" s="4" t="s">
        <v>3240</v>
      </c>
      <c r="C152" s="4"/>
      <c r="D152" s="5" t="s">
        <v>3241</v>
      </c>
      <c r="E152" s="4"/>
      <c r="F152" t="s">
        <v>3242</v>
      </c>
      <c r="G152" s="6" t="s">
        <v>3243</v>
      </c>
      <c r="H152" s="6" t="s">
        <v>3244</v>
      </c>
      <c r="I152" s="4"/>
      <c r="J152" s="6">
        <f>IF(I152&gt;0,PRODUCT(3510,I152),"")</f>
      </c>
    </row>
    <row r="153" spans="1:10" ht="76.6" customHeight="1">
      <c r="A153" s="4" t="s">
        <v>3245</v>
      </c>
      <c r="B153" s="4" t="s">
        <v>3246</v>
      </c>
      <c r="C153" s="4"/>
      <c r="D153" s="5" t="s">
        <v>3247</v>
      </c>
      <c r="E153" s="4"/>
      <c r="F153" t="s">
        <v>3248</v>
      </c>
      <c r="G153" s="6" t="s">
        <v>3249</v>
      </c>
      <c r="H153" s="6" t="s">
        <v>3250</v>
      </c>
      <c r="I153" s="4"/>
      <c r="J153" s="6">
        <f>IF(I153&gt;0,PRODUCT(4700,I153),"")</f>
      </c>
    </row>
    <row r="154" spans="1:10" ht="58.6" customHeight="1">
      <c r="A154" s="4" t="s">
        <v>3251</v>
      </c>
      <c r="B154" s="4" t="s">
        <v>3252</v>
      </c>
      <c r="C154" s="4"/>
      <c r="D154" s="5" t="s">
        <v>3253</v>
      </c>
      <c r="E154" s="4"/>
      <c r="F154" t="s">
        <v>3254</v>
      </c>
      <c r="G154" s="6" t="s">
        <v>3255</v>
      </c>
      <c r="H154" s="6" t="s">
        <v>3256</v>
      </c>
      <c r="I154" s="4"/>
      <c r="J154" s="6">
        <f>IF(I154&gt;0,PRODUCT(3940,I154),"")</f>
      </c>
    </row>
    <row r="155" spans="1:10" customHeight="1">
      <c r="A155" t="s">
        <v>3257</v>
      </c>
      <c r="B155"/>
      <c r="C155"/>
      <c r="D155"/>
      <c r="E155"/>
      <c r="F155"/>
      <c r="G155"/>
      <c r="H155"/>
      <c r="I155"/>
      <c r="J155"/>
    </row>
    <row r="156" spans="1:10" ht="67" customHeight="1">
      <c r="A156" s="4" t="s">
        <v>3258</v>
      </c>
      <c r="B156" s="4" t="s">
        <v>3259</v>
      </c>
      <c r="C156" s="4"/>
      <c r="D156" s="5" t="s">
        <v>3260</v>
      </c>
      <c r="E156" s="4"/>
      <c r="F156" t="s">
        <v>3261</v>
      </c>
      <c r="G156" s="6" t="s">
        <v>3262</v>
      </c>
      <c r="H156" s="6" t="s">
        <v>3263</v>
      </c>
      <c r="I156" s="4"/>
      <c r="J156" s="6">
        <f>IF(I156&gt;0,PRODUCT(4000,I156),"")</f>
      </c>
    </row>
    <row r="157" spans="1:10" ht="91" customHeight="1">
      <c r="A157" s="4" t="s">
        <v>3264</v>
      </c>
      <c r="B157" s="4" t="s">
        <v>3265</v>
      </c>
      <c r="C157" s="4"/>
      <c r="D157" s="5" t="s">
        <v>3266</v>
      </c>
      <c r="E157" s="4"/>
      <c r="F157" t="s">
        <v>3267</v>
      </c>
      <c r="G157" s="6" t="s">
        <v>3268</v>
      </c>
      <c r="H157" s="6" t="s">
        <v>3269</v>
      </c>
      <c r="I157" s="4"/>
      <c r="J157" s="6">
        <f>IF(I157&gt;0,PRODUCT(5100,I157),"")</f>
      </c>
    </row>
    <row r="158" spans="1:10" ht="91" customHeight="1">
      <c r="A158" s="4" t="s">
        <v>3270</v>
      </c>
      <c r="B158" s="4" t="s">
        <v>3271</v>
      </c>
      <c r="C158" s="4"/>
      <c r="D158" s="5" t="s">
        <v>3272</v>
      </c>
      <c r="E158" s="4"/>
      <c r="F158" t="s">
        <v>3273</v>
      </c>
      <c r="G158" s="6" t="s">
        <v>3274</v>
      </c>
      <c r="H158" s="6" t="s">
        <v>3275</v>
      </c>
      <c r="I158" s="4"/>
      <c r="J158" s="6">
        <f>IF(I158&gt;0,PRODUCT(3510,I158),"")</f>
      </c>
    </row>
    <row r="159" spans="1:10" ht="76.6" customHeight="1">
      <c r="A159" s="4" t="s">
        <v>3276</v>
      </c>
      <c r="B159" s="4" t="s">
        <v>3277</v>
      </c>
      <c r="C159" s="4"/>
      <c r="D159" s="5" t="s">
        <v>3278</v>
      </c>
      <c r="E159" s="4"/>
      <c r="F159" t="s">
        <v>3279</v>
      </c>
      <c r="G159" s="6" t="s">
        <v>3280</v>
      </c>
      <c r="H159" s="6" t="s">
        <v>3281</v>
      </c>
      <c r="I159" s="4"/>
      <c r="J159" s="6">
        <f>IF(I159&gt;0,PRODUCT(4700,I159),"")</f>
      </c>
    </row>
    <row r="160" spans="1:10" customHeight="1">
      <c r="A160" t="s">
        <v>3282</v>
      </c>
      <c r="B160"/>
      <c r="C160"/>
      <c r="D160"/>
      <c r="E160"/>
      <c r="F160"/>
      <c r="G160"/>
      <c r="H160"/>
      <c r="I160"/>
      <c r="J160"/>
    </row>
    <row r="161" spans="1:10" ht="61" customHeight="1">
      <c r="A161" s="4" t="s">
        <v>3283</v>
      </c>
      <c r="B161" s="4" t="s">
        <v>3284</v>
      </c>
      <c r="C161" s="4"/>
      <c r="D161" s="5" t="s">
        <v>3285</v>
      </c>
      <c r="E161" s="4"/>
      <c r="F161"/>
      <c r="G161" s="6" t="s">
        <v>3286</v>
      </c>
      <c r="H161" s="6" t="s">
        <v>3287</v>
      </c>
      <c r="I161" s="4"/>
      <c r="J161" s="6">
        <f>IF(I161&gt;0,PRODUCT(5610,I161),"")</f>
      </c>
    </row>
    <row r="162" spans="1:10" ht="68.8" customHeight="1">
      <c r="A162" s="4" t="s">
        <v>3288</v>
      </c>
      <c r="B162" s="4" t="s">
        <v>3289</v>
      </c>
      <c r="C162" s="4"/>
      <c r="D162" s="5" t="s">
        <v>3290</v>
      </c>
      <c r="E162" s="4"/>
      <c r="F162"/>
      <c r="G162" s="6" t="s">
        <v>3291</v>
      </c>
      <c r="H162" s="6" t="s">
        <v>3292</v>
      </c>
      <c r="I162" s="4"/>
      <c r="J162" s="6">
        <f>IF(I162&gt;0,PRODUCT(5590,I162),"")</f>
      </c>
    </row>
    <row r="163" spans="1:10" ht="91" customHeight="1">
      <c r="A163" s="4" t="s">
        <v>3293</v>
      </c>
      <c r="B163" s="4" t="s">
        <v>3294</v>
      </c>
      <c r="C163" s="4"/>
      <c r="D163" s="5" t="s">
        <v>3295</v>
      </c>
      <c r="E163" s="4"/>
      <c r="F163"/>
      <c r="G163" s="6" t="s">
        <v>3296</v>
      </c>
      <c r="H163" s="6" t="s">
        <v>3297</v>
      </c>
      <c r="I163" s="4"/>
      <c r="J163" s="6">
        <f>IF(I163&gt;0,PRODUCT(4810,I163),"")</f>
      </c>
    </row>
    <row r="164" spans="1:10" ht="58.6" customHeight="1">
      <c r="A164" s="4" t="s">
        <v>3298</v>
      </c>
      <c r="B164" s="4" t="s">
        <v>3299</v>
      </c>
      <c r="C164" s="4"/>
      <c r="D164" s="5" t="s">
        <v>3300</v>
      </c>
      <c r="E164" s="4"/>
      <c r="F164" t="s">
        <v>3301</v>
      </c>
      <c r="G164" s="6" t="s">
        <v>3302</v>
      </c>
      <c r="H164" s="6" t="s">
        <v>3303</v>
      </c>
      <c r="I164" s="4"/>
      <c r="J164" s="6">
        <f>IF(I164&gt;0,PRODUCT(3940,I164),"")</f>
      </c>
    </row>
    <row r="165" spans="1:10" customHeight="1">
      <c r="A165" t="s">
        <v>3304</v>
      </c>
      <c r="B165"/>
      <c r="C165"/>
      <c r="D165"/>
      <c r="E165"/>
      <c r="F165"/>
      <c r="G165"/>
      <c r="H165"/>
      <c r="I165"/>
      <c r="J165"/>
    </row>
    <row r="166" spans="1:10" ht="73" customHeight="1">
      <c r="A166" s="4" t="s">
        <v>3305</v>
      </c>
      <c r="B166" s="4" t="s">
        <v>3306</v>
      </c>
      <c r="C166" s="4"/>
      <c r="D166" s="5" t="s">
        <v>3307</v>
      </c>
      <c r="E166" s="4" t="s">
        <v>3308</v>
      </c>
      <c r="F166"/>
      <c r="G166" s="6" t="s">
        <v>3309</v>
      </c>
      <c r="H166" s="6" t="s">
        <v>3310</v>
      </c>
      <c r="I166" s="4"/>
      <c r="J166" s="6">
        <f>IF(I166&gt;0,PRODUCT(5500,I166),"")</f>
      </c>
    </row>
    <row r="167" spans="1:10" ht="67.6" customHeight="1">
      <c r="A167" s="4" t="s">
        <v>3311</v>
      </c>
      <c r="B167" s="4" t="s">
        <v>3312</v>
      </c>
      <c r="C167" s="4"/>
      <c r="D167" s="5" t="s">
        <v>3313</v>
      </c>
      <c r="E167" s="4"/>
      <c r="F167" t="s">
        <v>3314</v>
      </c>
      <c r="G167" s="6" t="s">
        <v>3315</v>
      </c>
      <c r="H167" s="6" t="s">
        <v>3316</v>
      </c>
      <c r="I167" s="4"/>
      <c r="J167" s="6">
        <f>IF(I167&gt;0,PRODUCT(7000,I167),"")</f>
      </c>
    </row>
    <row r="168" spans="1:10" ht="91" customHeight="1">
      <c r="A168" s="4" t="s">
        <v>3317</v>
      </c>
      <c r="B168" s="4" t="s">
        <v>3318</v>
      </c>
      <c r="C168" s="4"/>
      <c r="D168" s="5" t="s">
        <v>3319</v>
      </c>
      <c r="E168" s="4"/>
      <c r="F168" t="s">
        <v>3320</v>
      </c>
      <c r="G168" s="6" t="s">
        <v>3321</v>
      </c>
      <c r="H168" s="6" t="s">
        <v>3322</v>
      </c>
      <c r="I168" s="4"/>
      <c r="J168" s="6">
        <f>IF(I168&gt;0,PRODUCT(5450,I168),"")</f>
      </c>
    </row>
    <row r="169" spans="1:10" customHeight="1">
      <c r="A169" t="s">
        <v>3323</v>
      </c>
      <c r="B169"/>
      <c r="C169"/>
      <c r="D169"/>
      <c r="E169"/>
      <c r="F169"/>
      <c r="G169"/>
      <c r="H169"/>
      <c r="I169"/>
      <c r="J169"/>
    </row>
    <row r="170" spans="1:10" ht="70" customHeight="1">
      <c r="A170" s="4" t="s">
        <v>3324</v>
      </c>
      <c r="B170" s="4" t="s">
        <v>3325</v>
      </c>
      <c r="C170" s="4"/>
      <c r="D170" s="5" t="s">
        <v>3326</v>
      </c>
      <c r="E170" s="4" t="s">
        <v>3327</v>
      </c>
      <c r="F170" t="s">
        <v>3328</v>
      </c>
      <c r="G170" s="6" t="s">
        <v>3329</v>
      </c>
      <c r="H170" s="6" t="s">
        <v>3330</v>
      </c>
      <c r="I170" s="4"/>
      <c r="J170" s="6">
        <f>IF(I170&gt;0,PRODUCT(6710,I170),"")</f>
      </c>
    </row>
    <row r="171" spans="1:10" ht="91" customHeight="1">
      <c r="A171" s="4" t="s">
        <v>3331</v>
      </c>
      <c r="B171" s="4" t="s">
        <v>3332</v>
      </c>
      <c r="C171" s="4"/>
      <c r="D171" s="5" t="s">
        <v>3333</v>
      </c>
      <c r="E171" s="4"/>
      <c r="F171" t="s">
        <v>3334</v>
      </c>
      <c r="G171" s="6" t="s">
        <v>3335</v>
      </c>
      <c r="H171" s="6" t="s">
        <v>3336</v>
      </c>
      <c r="I171" s="4"/>
      <c r="J171" s="6">
        <f>IF(I171&gt;0,PRODUCT(8050,I171),"")</f>
      </c>
    </row>
    <row r="172" spans="1:10" ht="67.6" customHeight="1">
      <c r="A172" s="4" t="s">
        <v>3337</v>
      </c>
      <c r="B172" s="4" t="s">
        <v>3338</v>
      </c>
      <c r="C172" s="4"/>
      <c r="D172" s="5" t="s">
        <v>3339</v>
      </c>
      <c r="E172" s="4"/>
      <c r="F172" t="s">
        <v>3340</v>
      </c>
      <c r="G172" s="6" t="s">
        <v>3341</v>
      </c>
      <c r="H172" s="6" t="s">
        <v>3342</v>
      </c>
      <c r="I172" s="4"/>
      <c r="J172" s="6">
        <f>IF(I172&gt;0,PRODUCT(4530,I172),"")</f>
      </c>
    </row>
    <row r="173" spans="1:10" ht="53.2" customHeight="1">
      <c r="A173" s="4" t="s">
        <v>3343</v>
      </c>
      <c r="B173" s="4" t="s">
        <v>3344</v>
      </c>
      <c r="C173" s="4"/>
      <c r="D173" s="5" t="s">
        <v>3345</v>
      </c>
      <c r="E173" s="4"/>
      <c r="F173" t="s">
        <v>3346</v>
      </c>
      <c r="G173" s="6" t="s">
        <v>3347</v>
      </c>
      <c r="H173" s="6" t="s">
        <v>3348</v>
      </c>
      <c r="I173" s="4"/>
      <c r="J173" s="6">
        <f>IF(I173&gt;0,PRODUCT(6760,I173),"")</f>
      </c>
    </row>
    <row r="174" spans="1:10" ht="91" customHeight="1">
      <c r="A174" s="4" t="s">
        <v>3349</v>
      </c>
      <c r="B174" s="4" t="s">
        <v>3350</v>
      </c>
      <c r="C174" s="4"/>
      <c r="D174" s="5" t="s">
        <v>3351</v>
      </c>
      <c r="E174" s="4" t="s">
        <v>3352</v>
      </c>
      <c r="F174" t="s">
        <v>3353</v>
      </c>
      <c r="G174" s="6" t="s">
        <v>3354</v>
      </c>
      <c r="H174" s="6" t="s">
        <v>3355</v>
      </c>
      <c r="I174" s="4"/>
      <c r="J174" s="6">
        <f>IF(I174&gt;0,PRODUCT(8920,I174),"")</f>
      </c>
    </row>
    <row r="175" spans="1:10" ht="91" customHeight="1">
      <c r="A175" s="4" t="s">
        <v>3356</v>
      </c>
      <c r="B175" s="4" t="s">
        <v>3357</v>
      </c>
      <c r="C175" s="4"/>
      <c r="D175" s="5" t="s">
        <v>3358</v>
      </c>
      <c r="E175" s="4"/>
      <c r="F175"/>
      <c r="G175" s="6" t="s">
        <v>3359</v>
      </c>
      <c r="H175" s="6" t="s">
        <v>3360</v>
      </c>
      <c r="I175" s="4"/>
      <c r="J175" s="6">
        <f>IF(I175&gt;0,PRODUCT(4340,I175),"")</f>
      </c>
    </row>
    <row r="176" spans="1:10" ht="61" customHeight="1">
      <c r="A176" s="4" t="s">
        <v>3361</v>
      </c>
      <c r="B176" s="4" t="s">
        <v>3362</v>
      </c>
      <c r="C176" s="4"/>
      <c r="D176" s="5" t="s">
        <v>3363</v>
      </c>
      <c r="E176" s="4"/>
      <c r="F176" t="s">
        <v>3364</v>
      </c>
      <c r="G176" s="6" t="s">
        <v>3365</v>
      </c>
      <c r="H176" s="6" t="s">
        <v>3366</v>
      </c>
      <c r="I176" s="4"/>
      <c r="J176" s="6">
        <f>IF(I176&gt;0,PRODUCT(7220,I176),"")</f>
      </c>
    </row>
    <row r="177" spans="1:10" ht="61" customHeight="1">
      <c r="A177" s="4" t="s">
        <v>3367</v>
      </c>
      <c r="B177" s="4" t="s">
        <v>3368</v>
      </c>
      <c r="C177" s="4"/>
      <c r="D177" s="5" t="s">
        <v>3369</v>
      </c>
      <c r="E177" s="4"/>
      <c r="F177" t="s">
        <v>3370</v>
      </c>
      <c r="G177" s="6" t="s">
        <v>3371</v>
      </c>
      <c r="H177" s="6" t="s">
        <v>3372</v>
      </c>
      <c r="I177" s="4"/>
      <c r="J177" s="6">
        <f>IF(I177&gt;0,PRODUCT(2750,I177),"")</f>
      </c>
    </row>
    <row r="178" spans="1:10" customHeight="1">
      <c r="A178" t="s">
        <v>3373</v>
      </c>
      <c r="B178"/>
      <c r="C178"/>
      <c r="D178"/>
      <c r="E178"/>
      <c r="F178"/>
      <c r="G178"/>
      <c r="H178"/>
      <c r="I178"/>
      <c r="J178"/>
    </row>
    <row r="179" spans="1:10" ht="91" customHeight="1">
      <c r="A179" s="4" t="s">
        <v>3374</v>
      </c>
      <c r="B179" s="4" t="s">
        <v>3375</v>
      </c>
      <c r="C179" s="4"/>
      <c r="D179" s="5" t="s">
        <v>3376</v>
      </c>
      <c r="E179" s="4"/>
      <c r="F179"/>
      <c r="G179" s="6" t="s">
        <v>3377</v>
      </c>
      <c r="H179" s="6" t="s">
        <v>3378</v>
      </c>
      <c r="I179" s="4"/>
      <c r="J179" s="6">
        <f>IF(I179&gt;0,PRODUCT(5690,I179),"")</f>
      </c>
    </row>
    <row r="180" spans="1:10" ht="52" customHeight="1">
      <c r="A180" s="4" t="s">
        <v>3379</v>
      </c>
      <c r="B180" s="4" t="s">
        <v>3380</v>
      </c>
      <c r="C180" s="4"/>
      <c r="D180" s="5" t="s">
        <v>3381</v>
      </c>
      <c r="E180" s="4" t="s">
        <v>3382</v>
      </c>
      <c r="F180"/>
      <c r="G180" s="6" t="s">
        <v>3383</v>
      </c>
      <c r="H180" s="6" t="s">
        <v>3384</v>
      </c>
      <c r="I180" s="4"/>
      <c r="J180" s="6">
        <f>IF(I180&gt;0,PRODUCT(4870,I180),"")</f>
      </c>
    </row>
    <row r="181" spans="1:10" ht="91" customHeight="1">
      <c r="A181" s="4" t="s">
        <v>3385</v>
      </c>
      <c r="B181" s="4" t="s">
        <v>3386</v>
      </c>
      <c r="C181" s="4"/>
      <c r="D181" s="5" t="s">
        <v>3387</v>
      </c>
      <c r="E181" s="4"/>
      <c r="F181" t="s">
        <v>3388</v>
      </c>
      <c r="G181" s="6" t="s">
        <v>3389</v>
      </c>
      <c r="H181" s="6" t="s">
        <v>3390</v>
      </c>
      <c r="I181" s="4"/>
      <c r="J181" s="6">
        <f>IF(I181&gt;0,PRODUCT(5410,I181),"")</f>
      </c>
    </row>
    <row r="182" spans="1:10" ht="91" customHeight="1">
      <c r="A182" s="4" t="s">
        <v>3391</v>
      </c>
      <c r="B182" s="4" t="s">
        <v>3392</v>
      </c>
      <c r="C182" s="4"/>
      <c r="D182" s="5" t="s">
        <v>3393</v>
      </c>
      <c r="E182" s="4" t="s">
        <v>3394</v>
      </c>
      <c r="F182"/>
      <c r="G182" s="6" t="s">
        <v>3395</v>
      </c>
      <c r="H182" s="6" t="s">
        <v>3396</v>
      </c>
      <c r="I182" s="4"/>
      <c r="J182" s="6">
        <f>IF(I182&gt;0,PRODUCT(7250,I182),"")</f>
      </c>
    </row>
    <row r="183" spans="1:10" ht="61" customHeight="1">
      <c r="A183" s="4" t="s">
        <v>3397</v>
      </c>
      <c r="B183" s="4" t="s">
        <v>3398</v>
      </c>
      <c r="C183" s="4"/>
      <c r="D183" s="5" t="s">
        <v>3399</v>
      </c>
      <c r="E183" s="4"/>
      <c r="F183" t="s">
        <v>3400</v>
      </c>
      <c r="G183" s="6" t="s">
        <v>3401</v>
      </c>
      <c r="H183" s="6" t="s">
        <v>3402</v>
      </c>
      <c r="I183" s="4"/>
      <c r="J183" s="6">
        <f>IF(I183&gt;0,PRODUCT(5930,I183),"")</f>
      </c>
    </row>
    <row r="184" spans="1:10" ht="68.8" customHeight="1">
      <c r="A184" s="4" t="s">
        <v>3403</v>
      </c>
      <c r="B184" s="4" t="s">
        <v>3404</v>
      </c>
      <c r="C184" s="4"/>
      <c r="D184" s="5" t="s">
        <v>3405</v>
      </c>
      <c r="E184" s="4"/>
      <c r="F184" t="s">
        <v>3406</v>
      </c>
      <c r="G184" s="6" t="s">
        <v>3407</v>
      </c>
      <c r="H184" s="6" t="s">
        <v>3408</v>
      </c>
      <c r="I184" s="4"/>
      <c r="J184" s="6">
        <f>IF(I184&gt;0,PRODUCT(6160,I184),"")</f>
      </c>
    </row>
    <row r="185" spans="1:10" ht="62.8" customHeight="1">
      <c r="A185" s="4" t="s">
        <v>3409</v>
      </c>
      <c r="B185" s="4" t="s">
        <v>3410</v>
      </c>
      <c r="C185" s="4"/>
      <c r="D185" s="5" t="s">
        <v>3411</v>
      </c>
      <c r="E185" s="4"/>
      <c r="F185"/>
      <c r="G185" s="6" t="s">
        <v>3412</v>
      </c>
      <c r="H185" s="6" t="s">
        <v>3413</v>
      </c>
      <c r="I185" s="4"/>
      <c r="J185" s="6">
        <f>IF(I185&gt;0,PRODUCT(4620,I185),"")</f>
      </c>
    </row>
    <row r="186" spans="1:10" ht="91" customHeight="1">
      <c r="A186" s="4" t="s">
        <v>3414</v>
      </c>
      <c r="B186" s="4" t="s">
        <v>3415</v>
      </c>
      <c r="C186" s="4"/>
      <c r="D186" s="5" t="s">
        <v>3416</v>
      </c>
      <c r="E186" s="4"/>
      <c r="F186" t="s">
        <v>3417</v>
      </c>
      <c r="G186" s="6" t="s">
        <v>3418</v>
      </c>
      <c r="H186" s="6" t="s">
        <v>3419</v>
      </c>
      <c r="I186" s="4"/>
      <c r="J186" s="6">
        <f>IF(I186&gt;0,PRODUCT(5700,I186),"")</f>
      </c>
    </row>
    <row r="187" spans="1:10" s="1" customFormat="1" customHeight="1">
      <c r="A187" s="3" t="s">
        <v>3420</v>
      </c>
      <c r="B187" s="3"/>
      <c r="C187" s="3"/>
      <c r="D187" s="3"/>
      <c r="E187" s="3"/>
      <c r="F187" s="3"/>
      <c r="G187" s="3"/>
      <c r="H187" s="3"/>
      <c r="I187" s="3"/>
      <c r="J187" s="3"/>
    </row>
    <row r="188" spans="1:10" customHeight="1">
      <c r="A188" t="s">
        <v>3421</v>
      </c>
      <c r="B188"/>
      <c r="C188"/>
      <c r="D188"/>
      <c r="E188"/>
      <c r="F188"/>
      <c r="G188"/>
      <c r="H188"/>
      <c r="I188"/>
      <c r="J188"/>
    </row>
    <row r="189" spans="1:10" customHeight="1">
      <c r="A189" t="s">
        <v>3422</v>
      </c>
      <c r="B189"/>
      <c r="C189"/>
      <c r="D189"/>
      <c r="E189"/>
      <c r="F189"/>
      <c r="G189"/>
      <c r="H189"/>
      <c r="I189"/>
      <c r="J189"/>
    </row>
    <row r="190" spans="1:10" ht="91" customHeight="1">
      <c r="A190" s="4" t="s">
        <v>3423</v>
      </c>
      <c r="B190" s="4" t="s">
        <v>3424</v>
      </c>
      <c r="C190" s="4"/>
      <c r="D190" s="5" t="s">
        <v>3425</v>
      </c>
      <c r="E190" s="4"/>
      <c r="F190"/>
      <c r="G190" s="6" t="s">
        <v>3426</v>
      </c>
      <c r="H190" s="6" t="s">
        <v>3427</v>
      </c>
      <c r="I190" s="4"/>
      <c r="J190" s="6">
        <f>IF(I190&gt;0,PRODUCT(2220,I190),"")</f>
      </c>
    </row>
    <row r="191" spans="1:10" ht="91" customHeight="1">
      <c r="A191" s="4" t="s">
        <v>3428</v>
      </c>
      <c r="B191" s="4" t="s">
        <v>3429</v>
      </c>
      <c r="C191" s="4"/>
      <c r="D191" s="5" t="s">
        <v>3430</v>
      </c>
      <c r="E191" s="4" t="s">
        <v>3431</v>
      </c>
      <c r="F191" t="s">
        <v>3432</v>
      </c>
      <c r="G191" s="6" t="s">
        <v>3433</v>
      </c>
      <c r="H191" s="6" t="s">
        <v>3434</v>
      </c>
      <c r="I191" s="4"/>
      <c r="J191" s="6">
        <f>IF(I191&gt;0,PRODUCT(3750,I191),"")</f>
      </c>
    </row>
    <row r="192" spans="1:10" ht="91" customHeight="1">
      <c r="A192" s="4" t="s">
        <v>3435</v>
      </c>
      <c r="B192" s="4" t="s">
        <v>3436</v>
      </c>
      <c r="C192" s="4"/>
      <c r="D192" s="5" t="s">
        <v>3437</v>
      </c>
      <c r="E192" s="4"/>
      <c r="F192" t="s">
        <v>3438</v>
      </c>
      <c r="G192" s="6" t="s">
        <v>3439</v>
      </c>
      <c r="H192" s="6" t="s">
        <v>3440</v>
      </c>
      <c r="I192" s="4"/>
      <c r="J192" s="6">
        <f>IF(I192&gt;0,PRODUCT(3310,I192),"")</f>
      </c>
    </row>
    <row r="193" spans="1:10" ht="68.2" customHeight="1">
      <c r="A193" s="4" t="s">
        <v>3441</v>
      </c>
      <c r="B193" s="4" t="s">
        <v>3442</v>
      </c>
      <c r="C193" s="4"/>
      <c r="D193" s="5" t="s">
        <v>3443</v>
      </c>
      <c r="E193" s="4" t="s">
        <v>3444</v>
      </c>
      <c r="F193"/>
      <c r="G193" s="6" t="s">
        <v>3445</v>
      </c>
      <c r="H193" s="6" t="s">
        <v>3446</v>
      </c>
      <c r="I193" s="4"/>
      <c r="J193" s="6">
        <f>IF(I193&gt;0,PRODUCT(1800,I193),"")</f>
      </c>
    </row>
    <row r="194" spans="1:10" ht="67" customHeight="1">
      <c r="A194" s="4" t="s">
        <v>3447</v>
      </c>
      <c r="B194" s="4" t="s">
        <v>3448</v>
      </c>
      <c r="C194" s="4"/>
      <c r="D194" s="5" t="s">
        <v>3449</v>
      </c>
      <c r="E194" s="4"/>
      <c r="F194"/>
      <c r="G194" s="6" t="s">
        <v>3450</v>
      </c>
      <c r="H194" s="6" t="s">
        <v>3451</v>
      </c>
      <c r="I194" s="4"/>
      <c r="J194" s="6">
        <f>IF(I194&gt;0,PRODUCT(3830,I194),"")</f>
      </c>
    </row>
    <row r="195" spans="1:10" ht="68.2" customHeight="1">
      <c r="A195" s="4" t="s">
        <v>3452</v>
      </c>
      <c r="B195" s="4" t="s">
        <v>3453</v>
      </c>
      <c r="C195" s="4"/>
      <c r="D195" s="5" t="s">
        <v>3454</v>
      </c>
      <c r="E195" s="4"/>
      <c r="F195"/>
      <c r="G195" s="6" t="s">
        <v>3455</v>
      </c>
      <c r="H195" s="6" t="s">
        <v>3456</v>
      </c>
      <c r="I195" s="4"/>
      <c r="J195" s="6">
        <f>IF(I195&gt;0,PRODUCT(3800,I195),"")</f>
      </c>
    </row>
    <row r="196" spans="1:10" ht="67.6" customHeight="1">
      <c r="A196" s="4" t="s">
        <v>3457</v>
      </c>
      <c r="B196" s="4" t="s">
        <v>3458</v>
      </c>
      <c r="C196" s="4"/>
      <c r="D196" s="5" t="s">
        <v>3459</v>
      </c>
      <c r="E196" s="4"/>
      <c r="F196"/>
      <c r="G196" s="6" t="s">
        <v>3460</v>
      </c>
      <c r="H196" s="6" t="s">
        <v>3461</v>
      </c>
      <c r="I196" s="4"/>
      <c r="J196" s="6">
        <f>IF(I196&gt;0,PRODUCT(5130,I196),"")</f>
      </c>
    </row>
    <row r="197" spans="1:10" ht="91" customHeight="1">
      <c r="A197" s="4" t="s">
        <v>3462</v>
      </c>
      <c r="B197" s="4" t="s">
        <v>3463</v>
      </c>
      <c r="C197" s="4"/>
      <c r="D197" s="5" t="s">
        <v>3464</v>
      </c>
      <c r="E197" s="4"/>
      <c r="F197"/>
      <c r="G197" s="6" t="s">
        <v>3465</v>
      </c>
      <c r="H197" s="6" t="s">
        <v>3466</v>
      </c>
      <c r="I197" s="4"/>
      <c r="J197" s="6">
        <f>IF(I197&gt;0,PRODUCT(3830,I197),"")</f>
      </c>
    </row>
    <row r="198" spans="1:10" ht="62.2" customHeight="1">
      <c r="A198" s="4" t="s">
        <v>3467</v>
      </c>
      <c r="B198" s="4"/>
      <c r="C198" s="4"/>
      <c r="D198" s="5" t="s">
        <v>3468</v>
      </c>
      <c r="E198" s="4" t="s">
        <v>3469</v>
      </c>
      <c r="F198" t="s">
        <v>3470</v>
      </c>
      <c r="G198" s="6" t="s">
        <v>3471</v>
      </c>
      <c r="H198" s="6" t="s">
        <v>3472</v>
      </c>
      <c r="I198" s="4"/>
      <c r="J198" s="6">
        <f>IF(I198&gt;0,PRODUCT(3910,I198),"")</f>
      </c>
    </row>
    <row r="199" spans="1:10" ht="61" customHeight="1">
      <c r="A199" s="4" t="s">
        <v>3473</v>
      </c>
      <c r="B199" s="4" t="s">
        <v>3474</v>
      </c>
      <c r="C199" s="4"/>
      <c r="D199" s="5" t="s">
        <v>3475</v>
      </c>
      <c r="E199" s="4"/>
      <c r="F199"/>
      <c r="G199" s="6" t="s">
        <v>3476</v>
      </c>
      <c r="H199" s="6" t="s">
        <v>3477</v>
      </c>
      <c r="I199" s="4"/>
      <c r="J199" s="6">
        <f>IF(I199&gt;0,PRODUCT(1970,I199),"")</f>
      </c>
    </row>
    <row r="200" spans="1:10" ht="91" customHeight="1">
      <c r="A200" s="4" t="s">
        <v>3478</v>
      </c>
      <c r="B200" s="4" t="s">
        <v>3479</v>
      </c>
      <c r="C200" s="4"/>
      <c r="D200" s="5" t="s">
        <v>3480</v>
      </c>
      <c r="E200" s="4"/>
      <c r="F200" t="s">
        <v>3481</v>
      </c>
      <c r="G200" s="6" t="s">
        <v>3482</v>
      </c>
      <c r="H200" s="6" t="s">
        <v>3483</v>
      </c>
      <c r="I200" s="4"/>
      <c r="J200" s="6">
        <f>IF(I200&gt;0,PRODUCT(2370,I200),"")</f>
      </c>
    </row>
    <row r="201" spans="1:10" ht="91" customHeight="1">
      <c r="A201" s="4" t="s">
        <v>3484</v>
      </c>
      <c r="B201" s="4" t="s">
        <v>3485</v>
      </c>
      <c r="C201" s="4"/>
      <c r="D201" s="5" t="s">
        <v>3486</v>
      </c>
      <c r="E201" s="4"/>
      <c r="F201" t="s">
        <v>3487</v>
      </c>
      <c r="G201" s="6" t="s">
        <v>3488</v>
      </c>
      <c r="H201" s="6" t="s">
        <v>3489</v>
      </c>
      <c r="I201" s="4"/>
      <c r="J201" s="6">
        <f>IF(I201&gt;0,PRODUCT(2600,I201),"")</f>
      </c>
    </row>
    <row r="202" spans="1:10" ht="91" customHeight="1">
      <c r="A202" s="4" t="s">
        <v>3490</v>
      </c>
      <c r="B202" s="4" t="s">
        <v>3491</v>
      </c>
      <c r="C202" s="4"/>
      <c r="D202" s="5" t="s">
        <v>3492</v>
      </c>
      <c r="E202" s="4" t="s">
        <v>3493</v>
      </c>
      <c r="F202" t="s">
        <v>3494</v>
      </c>
      <c r="G202" s="6" t="s">
        <v>3495</v>
      </c>
      <c r="H202" s="6" t="s">
        <v>3496</v>
      </c>
      <c r="I202" s="4"/>
      <c r="J202" s="6">
        <f>IF(I202&gt;0,PRODUCT(2540,I202),"")</f>
      </c>
    </row>
    <row r="203" spans="1:10" ht="68.8" customHeight="1">
      <c r="A203" s="4" t="s">
        <v>3497</v>
      </c>
      <c r="B203" s="4" t="s">
        <v>3498</v>
      </c>
      <c r="C203" s="4"/>
      <c r="D203" s="5" t="s">
        <v>3499</v>
      </c>
      <c r="E203" s="4"/>
      <c r="F203"/>
      <c r="G203" s="6" t="s">
        <v>3500</v>
      </c>
      <c r="H203" s="6" t="s">
        <v>3501</v>
      </c>
      <c r="I203" s="4"/>
      <c r="J203" s="6">
        <f>IF(I203&gt;0,PRODUCT(4550,I203),"")</f>
      </c>
    </row>
    <row r="204" spans="1:10" ht="91" customHeight="1">
      <c r="A204" s="4" t="s">
        <v>3502</v>
      </c>
      <c r="B204" s="4" t="s">
        <v>3503</v>
      </c>
      <c r="C204" s="4"/>
      <c r="D204" s="5" t="s">
        <v>3504</v>
      </c>
      <c r="E204" s="4"/>
      <c r="F204"/>
      <c r="G204" s="6" t="s">
        <v>3505</v>
      </c>
      <c r="H204" s="6" t="s">
        <v>3506</v>
      </c>
      <c r="I204" s="4"/>
      <c r="J204" s="6">
        <f>IF(I204&gt;0,PRODUCT(2430,I204),"")</f>
      </c>
    </row>
    <row r="205" spans="1:10" ht="91" customHeight="1">
      <c r="A205" s="4" t="s">
        <v>3507</v>
      </c>
      <c r="B205" s="4" t="s">
        <v>3508</v>
      </c>
      <c r="C205" s="4"/>
      <c r="D205" s="5" t="s">
        <v>3509</v>
      </c>
      <c r="E205" s="4"/>
      <c r="F205"/>
      <c r="G205" s="6" t="s">
        <v>3510</v>
      </c>
      <c r="H205" s="6" t="s">
        <v>3511</v>
      </c>
      <c r="I205" s="4"/>
      <c r="J205" s="6">
        <f>IF(I205&gt;0,PRODUCT(2280,I205),"")</f>
      </c>
    </row>
    <row r="206" spans="1:10" ht="68.2" customHeight="1">
      <c r="A206" s="4" t="s">
        <v>3512</v>
      </c>
      <c r="B206" s="4" t="s">
        <v>3513</v>
      </c>
      <c r="C206" s="4"/>
      <c r="D206" s="5" t="s">
        <v>3514</v>
      </c>
      <c r="E206" s="4"/>
      <c r="F206"/>
      <c r="G206" s="6" t="s">
        <v>3515</v>
      </c>
      <c r="H206" s="6" t="s">
        <v>3516</v>
      </c>
      <c r="I206" s="4"/>
      <c r="J206" s="6">
        <f>IF(I206&gt;0,PRODUCT(2760,I206),"")</f>
      </c>
    </row>
    <row r="207" spans="1:10" ht="47.8" customHeight="1">
      <c r="A207" s="4" t="s">
        <v>3517</v>
      </c>
      <c r="B207" s="4" t="s">
        <v>3518</v>
      </c>
      <c r="C207" s="4"/>
      <c r="D207" s="5" t="s">
        <v>3519</v>
      </c>
      <c r="E207" s="4"/>
      <c r="F207"/>
      <c r="G207" s="6" t="s">
        <v>3520</v>
      </c>
      <c r="H207" s="6" t="s">
        <v>3521</v>
      </c>
      <c r="I207" s="4"/>
      <c r="J207" s="6">
        <f>IF(I207&gt;0,PRODUCT(2060,I207),"")</f>
      </c>
    </row>
    <row r="208" spans="1:10" ht="91" customHeight="1">
      <c r="A208" s="4" t="s">
        <v>3522</v>
      </c>
      <c r="B208" s="4" t="s">
        <v>3523</v>
      </c>
      <c r="C208" s="4"/>
      <c r="D208" s="5" t="s">
        <v>3524</v>
      </c>
      <c r="E208" s="4" t="s">
        <v>3525</v>
      </c>
      <c r="F208"/>
      <c r="G208" s="6" t="s">
        <v>3526</v>
      </c>
      <c r="H208" s="6" t="s">
        <v>3527</v>
      </c>
      <c r="I208" s="4"/>
      <c r="J208" s="6">
        <f>IF(I208&gt;0,PRODUCT(2100,I208),"")</f>
      </c>
    </row>
    <row r="209" spans="1:10" customHeight="1">
      <c r="A209" t="s">
        <v>3528</v>
      </c>
      <c r="B209"/>
      <c r="C209"/>
      <c r="D209"/>
      <c r="E209"/>
      <c r="F209"/>
      <c r="G209"/>
      <c r="H209"/>
      <c r="I209"/>
      <c r="J209"/>
    </row>
    <row r="210" spans="1:10" customHeight="1">
      <c r="A210" t="s">
        <v>3529</v>
      </c>
      <c r="B210"/>
      <c r="C210"/>
      <c r="D210"/>
      <c r="E210"/>
      <c r="F210"/>
      <c r="G210"/>
      <c r="H210"/>
      <c r="I210"/>
      <c r="J210"/>
    </row>
    <row r="211" spans="1:10" ht="91" customHeight="1">
      <c r="A211" s="4" t="s">
        <v>3530</v>
      </c>
      <c r="B211" s="4" t="s">
        <v>3531</v>
      </c>
      <c r="C211" s="4"/>
      <c r="D211" s="5" t="s">
        <v>3532</v>
      </c>
      <c r="E211" s="4" t="s">
        <v>3533</v>
      </c>
      <c r="F211" t="s">
        <v>3534</v>
      </c>
      <c r="G211" s="6" t="s">
        <v>3535</v>
      </c>
      <c r="H211" s="6" t="s">
        <v>3536</v>
      </c>
      <c r="I211" s="4"/>
      <c r="J211" s="6">
        <f>IF(I211&gt;0,PRODUCT(3050,I211),"")</f>
      </c>
    </row>
    <row r="212" spans="1:10" ht="73" customHeight="1">
      <c r="A212" s="4" t="s">
        <v>3537</v>
      </c>
      <c r="B212" s="4" t="s">
        <v>3538</v>
      </c>
      <c r="C212" s="4"/>
      <c r="D212" s="5" t="s">
        <v>3539</v>
      </c>
      <c r="E212" s="4"/>
      <c r="F212" t="s">
        <v>3540</v>
      </c>
      <c r="G212" s="6" t="s">
        <v>3541</v>
      </c>
      <c r="H212" s="6" t="s">
        <v>3542</v>
      </c>
      <c r="I212" s="4"/>
      <c r="J212" s="6">
        <f>IF(I212&gt;0,PRODUCT(3112,I212),"")</f>
      </c>
    </row>
    <row r="213" spans="1:10" ht="69.4" customHeight="1">
      <c r="A213" s="4" t="s">
        <v>3543</v>
      </c>
      <c r="B213" s="4" t="s">
        <v>3544</v>
      </c>
      <c r="C213" s="4"/>
      <c r="D213" s="5" t="s">
        <v>3545</v>
      </c>
      <c r="E213" s="4"/>
      <c r="F213"/>
      <c r="G213" s="6" t="s">
        <v>3546</v>
      </c>
      <c r="H213" s="6" t="s">
        <v>3547</v>
      </c>
      <c r="I213" s="4"/>
      <c r="J213" s="6">
        <f>IF(I213&gt;0,PRODUCT(2880,I213),"")</f>
      </c>
    </row>
    <row r="214" spans="1:10" ht="91" customHeight="1">
      <c r="A214" s="4" t="s">
        <v>3548</v>
      </c>
      <c r="B214" s="4" t="s">
        <v>3549</v>
      </c>
      <c r="C214" s="4"/>
      <c r="D214" s="5" t="s">
        <v>3550</v>
      </c>
      <c r="E214" s="4"/>
      <c r="F214"/>
      <c r="G214" s="6" t="s">
        <v>3551</v>
      </c>
      <c r="H214" s="6" t="s">
        <v>3552</v>
      </c>
      <c r="I214" s="4"/>
      <c r="J214" s="6">
        <f>IF(I214&gt;0,PRODUCT(2900,I214),"")</f>
      </c>
    </row>
    <row r="215" spans="1:10" ht="91" customHeight="1">
      <c r="A215" s="4" t="s">
        <v>3553</v>
      </c>
      <c r="B215" s="4" t="s">
        <v>3554</v>
      </c>
      <c r="C215" s="4"/>
      <c r="D215" s="5" t="s">
        <v>3555</v>
      </c>
      <c r="E215" s="4"/>
      <c r="F215"/>
      <c r="G215" s="6" t="s">
        <v>3556</v>
      </c>
      <c r="H215" s="6" t="s">
        <v>3557</v>
      </c>
      <c r="I215" s="4"/>
      <c r="J215" s="6">
        <f>IF(I215&gt;0,PRODUCT(2930,I215),"")</f>
      </c>
    </row>
    <row r="216" spans="1:10" ht="74.2" customHeight="1">
      <c r="A216" s="4" t="s">
        <v>3558</v>
      </c>
      <c r="B216" s="4" t="s">
        <v>3559</v>
      </c>
      <c r="C216" s="4"/>
      <c r="D216" s="5" t="s">
        <v>3560</v>
      </c>
      <c r="E216" s="4"/>
      <c r="F216"/>
      <c r="G216" s="6" t="s">
        <v>3561</v>
      </c>
      <c r="H216" s="6" t="s">
        <v>3562</v>
      </c>
      <c r="I216" s="4"/>
      <c r="J216" s="6">
        <f>IF(I216&gt;0,PRODUCT(2760,I216),"")</f>
      </c>
    </row>
    <row r="217" spans="1:10" ht="91" customHeight="1">
      <c r="A217" s="4" t="s">
        <v>3563</v>
      </c>
      <c r="B217" s="4" t="s">
        <v>3564</v>
      </c>
      <c r="C217" s="4"/>
      <c r="D217" s="5" t="s">
        <v>3565</v>
      </c>
      <c r="E217" s="4"/>
      <c r="F217"/>
      <c r="G217" s="6" t="s">
        <v>3566</v>
      </c>
      <c r="H217" s="6" t="s">
        <v>3567</v>
      </c>
      <c r="I217" s="4"/>
      <c r="J217" s="6">
        <f>IF(I217&gt;0,PRODUCT(2660,I217),"")</f>
      </c>
    </row>
    <row r="218" spans="1:10" ht="91" customHeight="1">
      <c r="A218" s="4" t="s">
        <v>3568</v>
      </c>
      <c r="B218" s="4" t="s">
        <v>3569</v>
      </c>
      <c r="C218" s="4"/>
      <c r="D218" s="5" t="s">
        <v>3570</v>
      </c>
      <c r="E218" s="4"/>
      <c r="F218"/>
      <c r="G218" s="6" t="s">
        <v>3571</v>
      </c>
      <c r="H218" s="6" t="s">
        <v>3572</v>
      </c>
      <c r="I218" s="4"/>
      <c r="J218" s="6">
        <f>IF(I218&gt;0,PRODUCT(2700,I218),"")</f>
      </c>
    </row>
    <row r="219" spans="1:10" ht="59.2" customHeight="1">
      <c r="A219" s="4" t="s">
        <v>3573</v>
      </c>
      <c r="B219" s="4" t="s">
        <v>3574</v>
      </c>
      <c r="C219" s="4"/>
      <c r="D219" s="5" t="s">
        <v>3575</v>
      </c>
      <c r="E219" s="4"/>
      <c r="F219"/>
      <c r="G219" s="6" t="s">
        <v>3576</v>
      </c>
      <c r="H219" s="6" t="s">
        <v>3577</v>
      </c>
      <c r="I219" s="4"/>
      <c r="J219" s="6">
        <f>IF(I219&gt;0,PRODUCT(2720,I219),"")</f>
      </c>
    </row>
    <row r="220" spans="1:10" ht="91" customHeight="1">
      <c r="A220" s="4" t="s">
        <v>3578</v>
      </c>
      <c r="B220" s="4" t="s">
        <v>3579</v>
      </c>
      <c r="C220" s="4"/>
      <c r="D220" s="5" t="s">
        <v>3580</v>
      </c>
      <c r="E220" s="4"/>
      <c r="F220" t="s">
        <v>3581</v>
      </c>
      <c r="G220" s="6" t="s">
        <v>3582</v>
      </c>
      <c r="H220" s="6" t="s">
        <v>3583</v>
      </c>
      <c r="I220" s="4"/>
      <c r="J220" s="6">
        <f>IF(I220&gt;0,PRODUCT(3446,I220),"")</f>
      </c>
    </row>
    <row r="221" spans="1:10" ht="91" customHeight="1">
      <c r="A221" s="4" t="s">
        <v>3584</v>
      </c>
      <c r="B221" s="4" t="s">
        <v>3585</v>
      </c>
      <c r="C221" s="4"/>
      <c r="D221" s="5" t="s">
        <v>3586</v>
      </c>
      <c r="E221" s="4"/>
      <c r="F221"/>
      <c r="G221" s="6" t="s">
        <v>3587</v>
      </c>
      <c r="H221" s="6" t="s">
        <v>3588</v>
      </c>
      <c r="I221" s="4"/>
      <c r="J221" s="6">
        <f>IF(I221&gt;0,PRODUCT(2780,I221),"")</f>
      </c>
    </row>
    <row r="222" spans="1:10" ht="91" customHeight="1">
      <c r="A222" s="4" t="s">
        <v>3589</v>
      </c>
      <c r="B222" s="4" t="s">
        <v>3590</v>
      </c>
      <c r="C222" s="4"/>
      <c r="D222" s="5" t="s">
        <v>3591</v>
      </c>
      <c r="E222" s="4"/>
      <c r="F222" t="s">
        <v>3592</v>
      </c>
      <c r="G222" s="6" t="s">
        <v>3593</v>
      </c>
      <c r="H222" s="6" t="s">
        <v>3594</v>
      </c>
      <c r="I222" s="4"/>
      <c r="J222" s="6">
        <f>IF(I222&gt;0,PRODUCT(2750,I222),"")</f>
      </c>
    </row>
    <row r="223" spans="1:10" ht="91" customHeight="1">
      <c r="A223" s="4" t="s">
        <v>3595</v>
      </c>
      <c r="B223" s="4" t="s">
        <v>3596</v>
      </c>
      <c r="C223" s="4"/>
      <c r="D223" s="5" t="s">
        <v>3597</v>
      </c>
      <c r="E223" s="4" t="s">
        <v>3598</v>
      </c>
      <c r="F223"/>
      <c r="G223" s="6" t="s">
        <v>3599</v>
      </c>
      <c r="H223" s="6" t="s">
        <v>3600</v>
      </c>
      <c r="I223" s="4"/>
      <c r="J223" s="6">
        <f>IF(I223&gt;0,PRODUCT(2960,I223),"")</f>
      </c>
    </row>
    <row r="224" spans="1:10" ht="91" customHeight="1">
      <c r="A224" s="4" t="s">
        <v>3601</v>
      </c>
      <c r="B224" s="4" t="s">
        <v>3602</v>
      </c>
      <c r="C224" s="4"/>
      <c r="D224" s="5" t="s">
        <v>3603</v>
      </c>
      <c r="E224" s="4"/>
      <c r="F224"/>
      <c r="G224" s="6" t="s">
        <v>3604</v>
      </c>
      <c r="H224" s="6" t="s">
        <v>3605</v>
      </c>
      <c r="I224" s="4"/>
      <c r="J224" s="6">
        <f>IF(I224&gt;0,PRODUCT(2780,I224),"")</f>
      </c>
    </row>
    <row r="225" spans="1:10" ht="91" customHeight="1">
      <c r="A225" s="4" t="s">
        <v>3606</v>
      </c>
      <c r="B225" s="4" t="s">
        <v>3607</v>
      </c>
      <c r="C225" s="4"/>
      <c r="D225" s="5" t="s">
        <v>3608</v>
      </c>
      <c r="E225" s="4"/>
      <c r="F225" t="s">
        <v>3609</v>
      </c>
      <c r="G225" s="6" t="s">
        <v>3610</v>
      </c>
      <c r="H225" s="6" t="s">
        <v>3611</v>
      </c>
      <c r="I225" s="4"/>
      <c r="J225" s="6">
        <f>IF(I225&gt;0,PRODUCT(2741,I225),"")</f>
      </c>
    </row>
    <row r="226" spans="1:10" ht="91" customHeight="1">
      <c r="A226" s="4" t="s">
        <v>3612</v>
      </c>
      <c r="B226" s="4" t="s">
        <v>3613</v>
      </c>
      <c r="C226" s="4"/>
      <c r="D226" s="5" t="s">
        <v>3614</v>
      </c>
      <c r="E226" s="4"/>
      <c r="F226"/>
      <c r="G226" s="6" t="s">
        <v>3615</v>
      </c>
      <c r="H226" s="6" t="s">
        <v>3616</v>
      </c>
      <c r="I226" s="4"/>
      <c r="J226" s="6">
        <f>IF(I226&gt;0,PRODUCT(2680,I226),"")</f>
      </c>
    </row>
    <row r="227" spans="1:10" ht="68.2" customHeight="1">
      <c r="A227" s="4" t="s">
        <v>3617</v>
      </c>
      <c r="B227" s="4" t="s">
        <v>3618</v>
      </c>
      <c r="C227" s="4"/>
      <c r="D227" s="5" t="s">
        <v>3619</v>
      </c>
      <c r="E227" s="4"/>
      <c r="F227"/>
      <c r="G227" s="6" t="s">
        <v>3620</v>
      </c>
      <c r="H227" s="6" t="s">
        <v>3621</v>
      </c>
      <c r="I227" s="4"/>
      <c r="J227" s="6">
        <f>IF(I227&gt;0,PRODUCT(2955,I227),"")</f>
      </c>
    </row>
    <row r="228" spans="1:10" ht="74.2" customHeight="1">
      <c r="A228" s="4" t="s">
        <v>3622</v>
      </c>
      <c r="B228" s="4" t="s">
        <v>3623</v>
      </c>
      <c r="C228" s="4"/>
      <c r="D228" s="5" t="s">
        <v>3624</v>
      </c>
      <c r="E228" s="4"/>
      <c r="F228" t="s">
        <v>3625</v>
      </c>
      <c r="G228" s="6" t="s">
        <v>3626</v>
      </c>
      <c r="H228" s="6" t="s">
        <v>3627</v>
      </c>
      <c r="I228" s="4"/>
      <c r="J228" s="6">
        <f>IF(I228&gt;0,PRODUCT(2940,I228),"")</f>
      </c>
    </row>
    <row r="229" spans="1:10" ht="53.2" customHeight="1">
      <c r="A229" s="4" t="s">
        <v>3628</v>
      </c>
      <c r="B229" s="4" t="s">
        <v>3629</v>
      </c>
      <c r="C229" s="4"/>
      <c r="D229" s="5" t="s">
        <v>3630</v>
      </c>
      <c r="E229" s="4"/>
      <c r="F229" t="s">
        <v>3631</v>
      </c>
      <c r="G229" s="6" t="s">
        <v>3632</v>
      </c>
      <c r="H229" s="6" t="s">
        <v>3633</v>
      </c>
      <c r="I229" s="4"/>
      <c r="J229" s="6">
        <f>IF(I229&gt;0,PRODUCT(3580,I229),"")</f>
      </c>
    </row>
    <row r="230" spans="1:10" ht="91" customHeight="1">
      <c r="A230" s="4" t="s">
        <v>3634</v>
      </c>
      <c r="B230" s="4" t="s">
        <v>3635</v>
      </c>
      <c r="C230" s="4"/>
      <c r="D230" s="5" t="s">
        <v>3636</v>
      </c>
      <c r="E230" s="4"/>
      <c r="F230" t="s">
        <v>3637</v>
      </c>
      <c r="G230" s="6" t="s">
        <v>3638</v>
      </c>
      <c r="H230" s="6" t="s">
        <v>3639</v>
      </c>
      <c r="I230" s="4"/>
      <c r="J230" s="6">
        <f>IF(I230&gt;0,PRODUCT(3330,I230),"")</f>
      </c>
    </row>
    <row r="231" spans="1:10" ht="78.4" customHeight="1">
      <c r="A231" s="4" t="s">
        <v>3640</v>
      </c>
      <c r="B231" s="4" t="s">
        <v>3641</v>
      </c>
      <c r="C231" s="4"/>
      <c r="D231" s="5" t="s">
        <v>3642</v>
      </c>
      <c r="E231" s="4"/>
      <c r="F231" t="s">
        <v>3643</v>
      </c>
      <c r="G231" s="6" t="s">
        <v>3644</v>
      </c>
      <c r="H231" s="6" t="s">
        <v>3645</v>
      </c>
      <c r="I231" s="4"/>
      <c r="J231" s="6">
        <f>IF(I231&gt;0,PRODUCT(2720,I231),"")</f>
      </c>
    </row>
    <row r="232" spans="1:10" ht="91" customHeight="1">
      <c r="A232" s="4" t="s">
        <v>3646</v>
      </c>
      <c r="B232" s="4" t="s">
        <v>3647</v>
      </c>
      <c r="C232" s="4"/>
      <c r="D232" s="5" t="s">
        <v>3648</v>
      </c>
      <c r="E232" s="4" t="s">
        <v>3649</v>
      </c>
      <c r="F232"/>
      <c r="G232" s="6" t="s">
        <v>3650</v>
      </c>
      <c r="H232" s="6" t="s">
        <v>3651</v>
      </c>
      <c r="I232" s="4"/>
      <c r="J232" s="6">
        <f>IF(I232&gt;0,PRODUCT(3030,I232),"")</f>
      </c>
    </row>
    <row r="233" spans="1:10" ht="91" customHeight="1">
      <c r="A233" s="4" t="s">
        <v>3652</v>
      </c>
      <c r="B233" s="4" t="s">
        <v>3653</v>
      </c>
      <c r="C233" s="4"/>
      <c r="D233" s="5" t="s">
        <v>3654</v>
      </c>
      <c r="E233" s="4"/>
      <c r="F233" t="s">
        <v>3655</v>
      </c>
      <c r="G233" s="6" t="s">
        <v>3656</v>
      </c>
      <c r="H233" s="6" t="s">
        <v>3657</v>
      </c>
      <c r="I233" s="4"/>
      <c r="J233" s="6">
        <f>IF(I233&gt;0,PRODUCT(3040,I233),"")</f>
      </c>
    </row>
    <row r="234" spans="1:10" ht="91" customHeight="1">
      <c r="A234" s="4" t="s">
        <v>3658</v>
      </c>
      <c r="B234" s="4" t="s">
        <v>3659</v>
      </c>
      <c r="C234" s="4"/>
      <c r="D234" s="5" t="s">
        <v>3660</v>
      </c>
      <c r="E234" s="4" t="s">
        <v>3661</v>
      </c>
      <c r="F234" t="s">
        <v>3662</v>
      </c>
      <c r="G234" s="6" t="s">
        <v>3663</v>
      </c>
      <c r="H234" s="6" t="s">
        <v>3664</v>
      </c>
      <c r="I234" s="4"/>
      <c r="J234" s="6">
        <f>IF(I234&gt;0,PRODUCT(3490,I234),"")</f>
      </c>
    </row>
    <row r="235" spans="1:10" ht="91" customHeight="1">
      <c r="A235" s="4" t="s">
        <v>3665</v>
      </c>
      <c r="B235" s="4" t="s">
        <v>3666</v>
      </c>
      <c r="C235" s="4"/>
      <c r="D235" s="5" t="s">
        <v>3667</v>
      </c>
      <c r="E235" s="4"/>
      <c r="F235" t="s">
        <v>3668</v>
      </c>
      <c r="G235" s="6" t="s">
        <v>3669</v>
      </c>
      <c r="H235" s="6" t="s">
        <v>3670</v>
      </c>
      <c r="I235" s="4"/>
      <c r="J235" s="6">
        <f>IF(I235&gt;0,PRODUCT(5180,I235),"")</f>
      </c>
    </row>
    <row r="236" spans="1:10" ht="68.8" customHeight="1">
      <c r="A236" s="4" t="s">
        <v>3671</v>
      </c>
      <c r="B236" s="4" t="s">
        <v>3672</v>
      </c>
      <c r="C236" s="4"/>
      <c r="D236" s="5" t="s">
        <v>3673</v>
      </c>
      <c r="E236" s="4"/>
      <c r="F236" t="s">
        <v>3674</v>
      </c>
      <c r="G236" s="6" t="s">
        <v>3675</v>
      </c>
      <c r="H236" s="6" t="s">
        <v>3676</v>
      </c>
      <c r="I236" s="4"/>
      <c r="J236" s="6">
        <f>IF(I236&gt;0,PRODUCT(4545,I236),"")</f>
      </c>
    </row>
    <row r="237" spans="1:10" ht="91" customHeight="1">
      <c r="A237" s="4" t="s">
        <v>3677</v>
      </c>
      <c r="B237" s="4" t="s">
        <v>3678</v>
      </c>
      <c r="C237" s="4"/>
      <c r="D237" s="5" t="s">
        <v>3679</v>
      </c>
      <c r="E237" s="4" t="s">
        <v>3680</v>
      </c>
      <c r="F237" t="s">
        <v>3681</v>
      </c>
      <c r="G237" s="6" t="s">
        <v>3682</v>
      </c>
      <c r="H237" s="6" t="s">
        <v>3683</v>
      </c>
      <c r="I237" s="4"/>
      <c r="J237" s="6">
        <f>IF(I237&gt;0,PRODUCT(4020,I237),"")</f>
      </c>
    </row>
    <row r="238" spans="1:10" ht="91" customHeight="1">
      <c r="A238" s="4" t="s">
        <v>3684</v>
      </c>
      <c r="B238" s="4" t="s">
        <v>3685</v>
      </c>
      <c r="C238" s="4"/>
      <c r="D238" s="5" t="s">
        <v>3686</v>
      </c>
      <c r="E238" s="4" t="s">
        <v>3687</v>
      </c>
      <c r="F238" t="s">
        <v>3688</v>
      </c>
      <c r="G238" s="6" t="s">
        <v>3689</v>
      </c>
      <c r="H238" s="6" t="s">
        <v>3690</v>
      </c>
      <c r="I238" s="4"/>
      <c r="J238" s="6">
        <f>IF(I238&gt;0,PRODUCT(3780,I238),"")</f>
      </c>
    </row>
    <row r="239" spans="1:10" ht="68.8" customHeight="1">
      <c r="A239" s="4" t="s">
        <v>3691</v>
      </c>
      <c r="B239" s="4" t="s">
        <v>3692</v>
      </c>
      <c r="C239" s="4"/>
      <c r="D239" s="5" t="s">
        <v>3693</v>
      </c>
      <c r="E239" s="4"/>
      <c r="F239" t="s">
        <v>3694</v>
      </c>
      <c r="G239" s="6" t="s">
        <v>3695</v>
      </c>
      <c r="H239" s="6" t="s">
        <v>3696</v>
      </c>
      <c r="I239" s="4"/>
      <c r="J239" s="6">
        <f>IF(I239&gt;0,PRODUCT(6370,I239),"")</f>
      </c>
    </row>
    <row r="240" spans="1:10" ht="80.8" customHeight="1">
      <c r="A240" s="4" t="s">
        <v>3697</v>
      </c>
      <c r="B240" s="4" t="s">
        <v>3698</v>
      </c>
      <c r="C240" s="4"/>
      <c r="D240" s="5" t="s">
        <v>3699</v>
      </c>
      <c r="E240" s="4"/>
      <c r="F240" t="s">
        <v>3700</v>
      </c>
      <c r="G240" s="6" t="s">
        <v>3701</v>
      </c>
      <c r="H240" s="6" t="s">
        <v>3702</v>
      </c>
      <c r="I240" s="4"/>
      <c r="J240" s="6">
        <f>IF(I240&gt;0,PRODUCT(5670,I240),"")</f>
      </c>
    </row>
    <row r="241" spans="1:10" ht="69.4" customHeight="1">
      <c r="A241" s="4" t="s">
        <v>3703</v>
      </c>
      <c r="B241" s="4" t="s">
        <v>3704</v>
      </c>
      <c r="C241" s="4"/>
      <c r="D241" s="5" t="s">
        <v>3705</v>
      </c>
      <c r="E241" s="4"/>
      <c r="F241" t="s">
        <v>3706</v>
      </c>
      <c r="G241" s="6" t="s">
        <v>3707</v>
      </c>
      <c r="H241" s="6" t="s">
        <v>3708</v>
      </c>
      <c r="I241" s="4"/>
      <c r="J241" s="6">
        <f>IF(I241&gt;0,PRODUCT(4950,I241),"")</f>
      </c>
    </row>
    <row r="242" spans="1:10" ht="91" customHeight="1">
      <c r="A242" s="4" t="s">
        <v>3709</v>
      </c>
      <c r="B242" s="4" t="s">
        <v>3710</v>
      </c>
      <c r="C242" s="4"/>
      <c r="D242" s="5" t="s">
        <v>3711</v>
      </c>
      <c r="E242" s="4"/>
      <c r="F242" t="s">
        <v>3712</v>
      </c>
      <c r="G242" s="6" t="s">
        <v>3713</v>
      </c>
      <c r="H242" s="6" t="s">
        <v>3714</v>
      </c>
      <c r="I242" s="4"/>
      <c r="J242" s="6">
        <f>IF(I242&gt;0,PRODUCT(2700,I242),"")</f>
      </c>
    </row>
    <row r="243" spans="1:10" ht="91" customHeight="1">
      <c r="A243" s="4" t="s">
        <v>3715</v>
      </c>
      <c r="B243" s="4" t="s">
        <v>3716</v>
      </c>
      <c r="C243" s="4"/>
      <c r="D243" s="5" t="s">
        <v>3717</v>
      </c>
      <c r="E243" s="4"/>
      <c r="F243"/>
      <c r="G243" s="6" t="s">
        <v>3718</v>
      </c>
      <c r="H243" s="6" t="s">
        <v>3719</v>
      </c>
      <c r="I243" s="4"/>
      <c r="J243" s="6">
        <f>IF(I243&gt;0,PRODUCT(2650,I243),"")</f>
      </c>
    </row>
    <row r="244" spans="1:10" ht="83.2" customHeight="1">
      <c r="A244" s="4" t="s">
        <v>3720</v>
      </c>
      <c r="B244" s="4" t="s">
        <v>3721</v>
      </c>
      <c r="C244" s="4"/>
      <c r="D244" s="5" t="s">
        <v>3722</v>
      </c>
      <c r="E244" s="4"/>
      <c r="F244" t="s">
        <v>3723</v>
      </c>
      <c r="G244" s="6" t="s">
        <v>3724</v>
      </c>
      <c r="H244" s="6" t="s">
        <v>3725</v>
      </c>
      <c r="I244" s="4"/>
      <c r="J244" s="6">
        <f>IF(I244&gt;0,PRODUCT(4400,I244),"")</f>
      </c>
    </row>
    <row r="245" spans="1:10" ht="61.6" customHeight="1">
      <c r="A245" s="4" t="s">
        <v>3726</v>
      </c>
      <c r="B245" s="4" t="s">
        <v>3727</v>
      </c>
      <c r="C245" s="4"/>
      <c r="D245" s="5" t="s">
        <v>3728</v>
      </c>
      <c r="E245" s="4"/>
      <c r="F245" t="s">
        <v>3729</v>
      </c>
      <c r="G245" s="6" t="s">
        <v>3730</v>
      </c>
      <c r="H245" s="6" t="s">
        <v>3731</v>
      </c>
      <c r="I245" s="4"/>
      <c r="J245" s="6">
        <f>IF(I245&gt;0,PRODUCT(5250,I245),"")</f>
      </c>
    </row>
    <row r="246" spans="1:10" ht="61.6" customHeight="1">
      <c r="A246" s="4" t="s">
        <v>3732</v>
      </c>
      <c r="B246" s="4" t="s">
        <v>3733</v>
      </c>
      <c r="C246" s="4"/>
      <c r="D246" s="5" t="s">
        <v>3734</v>
      </c>
      <c r="E246" s="4"/>
      <c r="F246" t="s">
        <v>3735</v>
      </c>
      <c r="G246" s="6" t="s">
        <v>3736</v>
      </c>
      <c r="H246" s="6" t="s">
        <v>3737</v>
      </c>
      <c r="I246" s="4"/>
      <c r="J246" s="6">
        <f>IF(I246&gt;0,PRODUCT(3670,I246),"")</f>
      </c>
    </row>
    <row r="247" spans="1:10" ht="61" customHeight="1">
      <c r="A247" s="4" t="s">
        <v>3738</v>
      </c>
      <c r="B247" s="4" t="s">
        <v>3739</v>
      </c>
      <c r="C247" s="4"/>
      <c r="D247" s="5" t="s">
        <v>3740</v>
      </c>
      <c r="E247" s="4"/>
      <c r="F247"/>
      <c r="G247" s="6" t="s">
        <v>3741</v>
      </c>
      <c r="H247" s="6" t="s">
        <v>3742</v>
      </c>
      <c r="I247" s="4"/>
      <c r="J247" s="6">
        <f>IF(I247&gt;0,PRODUCT(2600,I247),"")</f>
      </c>
    </row>
    <row r="248" spans="1:10" ht="91" customHeight="1">
      <c r="A248" s="4" t="s">
        <v>3743</v>
      </c>
      <c r="B248" s="4" t="s">
        <v>3744</v>
      </c>
      <c r="C248" s="4"/>
      <c r="D248" s="5" t="s">
        <v>3745</v>
      </c>
      <c r="E248" s="4"/>
      <c r="F248" t="s">
        <v>3746</v>
      </c>
      <c r="G248" s="6" t="s">
        <v>3747</v>
      </c>
      <c r="H248" s="6" t="s">
        <v>3748</v>
      </c>
      <c r="I248" s="4"/>
      <c r="J248" s="6">
        <f>IF(I248&gt;0,PRODUCT(3095,I248),"")</f>
      </c>
    </row>
    <row r="249" spans="1:10" ht="53.2" customHeight="1">
      <c r="A249" s="4" t="s">
        <v>3749</v>
      </c>
      <c r="B249" s="4" t="s">
        <v>3750</v>
      </c>
      <c r="C249" s="4"/>
      <c r="D249" s="5" t="s">
        <v>3751</v>
      </c>
      <c r="E249" s="4" t="s">
        <v>3752</v>
      </c>
      <c r="F249" t="s">
        <v>3753</v>
      </c>
      <c r="G249" s="6" t="s">
        <v>3754</v>
      </c>
      <c r="H249" s="6" t="s">
        <v>3755</v>
      </c>
      <c r="I249" s="4"/>
      <c r="J249" s="6">
        <f>IF(I249&gt;0,PRODUCT(3090,I249),"")</f>
      </c>
    </row>
    <row r="250" spans="1:10" ht="70" customHeight="1">
      <c r="A250" s="4" t="s">
        <v>3756</v>
      </c>
      <c r="B250" s="4" t="s">
        <v>3757</v>
      </c>
      <c r="C250" s="4"/>
      <c r="D250" s="5" t="s">
        <v>3758</v>
      </c>
      <c r="E250" s="4"/>
      <c r="F250"/>
      <c r="G250" s="6" t="s">
        <v>3759</v>
      </c>
      <c r="H250" s="6" t="s">
        <v>3760</v>
      </c>
      <c r="I250" s="4"/>
      <c r="J250" s="6">
        <f>IF(I250&gt;0,PRODUCT(2690,I250),"")</f>
      </c>
    </row>
    <row r="251" spans="1:10" ht="62.8" customHeight="1">
      <c r="A251" s="4" t="s">
        <v>3761</v>
      </c>
      <c r="B251" s="4" t="s">
        <v>3762</v>
      </c>
      <c r="C251" s="4"/>
      <c r="D251" s="5" t="s">
        <v>3763</v>
      </c>
      <c r="E251" s="4"/>
      <c r="F251" t="s">
        <v>3764</v>
      </c>
      <c r="G251" s="6" t="s">
        <v>3765</v>
      </c>
      <c r="H251" s="6" t="s">
        <v>3766</v>
      </c>
      <c r="I251" s="4"/>
      <c r="J251" s="6">
        <f>IF(I251&gt;0,PRODUCT(2525,I251),"")</f>
      </c>
    </row>
    <row r="252" spans="1:10" ht="85.6" customHeight="1">
      <c r="A252" s="4" t="s">
        <v>3767</v>
      </c>
      <c r="B252" s="4" t="s">
        <v>3768</v>
      </c>
      <c r="C252" s="4"/>
      <c r="D252" s="5" t="s">
        <v>3769</v>
      </c>
      <c r="E252" s="4"/>
      <c r="F252" t="s">
        <v>3770</v>
      </c>
      <c r="G252" s="6" t="s">
        <v>3771</v>
      </c>
      <c r="H252" s="6" t="s">
        <v>3772</v>
      </c>
      <c r="I252" s="4"/>
      <c r="J252" s="6">
        <f>IF(I252&gt;0,PRODUCT(2950,I252),"")</f>
      </c>
    </row>
    <row r="253" spans="1:10" ht="68.8" customHeight="1">
      <c r="A253" s="4" t="s">
        <v>3773</v>
      </c>
      <c r="B253" s="4" t="s">
        <v>3774</v>
      </c>
      <c r="C253" s="4"/>
      <c r="D253" s="5" t="s">
        <v>3775</v>
      </c>
      <c r="E253" s="4"/>
      <c r="F253"/>
      <c r="G253" s="6" t="s">
        <v>3776</v>
      </c>
      <c r="H253" s="6" t="s">
        <v>3777</v>
      </c>
      <c r="I253" s="4"/>
      <c r="J253" s="6">
        <f>IF(I253&gt;0,PRODUCT(2640,I253),"")</f>
      </c>
    </row>
    <row r="254" spans="1:10" ht="68.8" customHeight="1">
      <c r="A254" s="4" t="s">
        <v>3778</v>
      </c>
      <c r="B254" s="4" t="s">
        <v>3779</v>
      </c>
      <c r="C254" s="4"/>
      <c r="D254" s="5" t="s">
        <v>3780</v>
      </c>
      <c r="E254" s="4"/>
      <c r="F254" t="s">
        <v>3781</v>
      </c>
      <c r="G254" s="6" t="s">
        <v>3782</v>
      </c>
      <c r="H254" s="6" t="s">
        <v>3783</v>
      </c>
      <c r="I254" s="4"/>
      <c r="J254" s="6">
        <f>IF(I254&gt;0,PRODUCT(3700,I254),"")</f>
      </c>
    </row>
    <row r="255" spans="1:10" ht="91" customHeight="1">
      <c r="A255" s="4" t="s">
        <v>3784</v>
      </c>
      <c r="B255" s="4" t="s">
        <v>3785</v>
      </c>
      <c r="C255" s="4"/>
      <c r="D255" s="5" t="s">
        <v>3786</v>
      </c>
      <c r="E255" s="4"/>
      <c r="F255"/>
      <c r="G255" s="6" t="s">
        <v>3787</v>
      </c>
      <c r="H255" s="6" t="s">
        <v>3788</v>
      </c>
      <c r="I255" s="4"/>
      <c r="J255" s="6">
        <f>IF(I255&gt;0,PRODUCT(2875,I255),"")</f>
      </c>
    </row>
    <row r="256" spans="1:10" ht="62.8" customHeight="1">
      <c r="A256" s="4" t="s">
        <v>3789</v>
      </c>
      <c r="B256" s="4" t="s">
        <v>3790</v>
      </c>
      <c r="C256" s="4"/>
      <c r="D256" s="5" t="s">
        <v>3791</v>
      </c>
      <c r="E256" s="4"/>
      <c r="F256" t="s">
        <v>3792</v>
      </c>
      <c r="G256" s="6" t="s">
        <v>3793</v>
      </c>
      <c r="H256" s="6" t="s">
        <v>3794</v>
      </c>
      <c r="I256" s="4"/>
      <c r="J256" s="6">
        <f>IF(I256&gt;0,PRODUCT(2960,I256),"")</f>
      </c>
    </row>
    <row r="257" spans="1:10" ht="61.6" customHeight="1">
      <c r="A257" s="4" t="s">
        <v>3795</v>
      </c>
      <c r="B257" s="4" t="s">
        <v>3796</v>
      </c>
      <c r="C257" s="4"/>
      <c r="D257" s="5" t="s">
        <v>3797</v>
      </c>
      <c r="E257" s="4"/>
      <c r="F257"/>
      <c r="G257" s="6" t="s">
        <v>3798</v>
      </c>
      <c r="H257" s="6" t="s">
        <v>3799</v>
      </c>
      <c r="I257" s="4"/>
      <c r="J257" s="6">
        <f>IF(I257&gt;0,PRODUCT(3102,I257),"")</f>
      </c>
    </row>
    <row r="258" spans="1:10" ht="91" customHeight="1">
      <c r="A258" s="4" t="s">
        <v>3800</v>
      </c>
      <c r="B258" s="4" t="s">
        <v>3801</v>
      </c>
      <c r="C258" s="4"/>
      <c r="D258" s="5" t="s">
        <v>3802</v>
      </c>
      <c r="E258" s="4"/>
      <c r="F258" t="s">
        <v>3803</v>
      </c>
      <c r="G258" s="6" t="s">
        <v>3804</v>
      </c>
      <c r="H258" s="6" t="s">
        <v>3805</v>
      </c>
      <c r="I258" s="4"/>
      <c r="J258" s="6">
        <f>IF(I258&gt;0,PRODUCT(3080,I258),"")</f>
      </c>
    </row>
    <row r="259" spans="1:10" ht="66.4" customHeight="1">
      <c r="A259" s="4" t="s">
        <v>3806</v>
      </c>
      <c r="B259" s="4" t="s">
        <v>3807</v>
      </c>
      <c r="C259" s="4"/>
      <c r="D259" s="5" t="s">
        <v>3808</v>
      </c>
      <c r="E259" s="4" t="s">
        <v>3809</v>
      </c>
      <c r="F259" t="s">
        <v>3810</v>
      </c>
      <c r="G259" s="6" t="s">
        <v>3811</v>
      </c>
      <c r="H259" s="6" t="s">
        <v>3812</v>
      </c>
      <c r="I259" s="4"/>
      <c r="J259" s="6">
        <f>IF(I259&gt;0,PRODUCT(3000,I259),"")</f>
      </c>
    </row>
    <row r="260" spans="1:10" ht="61.6" customHeight="1">
      <c r="A260" s="4" t="s">
        <v>3813</v>
      </c>
      <c r="B260" s="4" t="s">
        <v>3814</v>
      </c>
      <c r="C260" s="4"/>
      <c r="D260" s="5" t="s">
        <v>3815</v>
      </c>
      <c r="E260" s="4"/>
      <c r="F260"/>
      <c r="G260" s="6" t="s">
        <v>3816</v>
      </c>
      <c r="H260" s="6" t="s">
        <v>3817</v>
      </c>
      <c r="I260" s="4"/>
      <c r="J260" s="6">
        <f>IF(I260&gt;0,PRODUCT(3080,I260),"")</f>
      </c>
    </row>
    <row r="261" spans="1:10" customHeight="1">
      <c r="A261" t="s">
        <v>3818</v>
      </c>
      <c r="B261"/>
      <c r="C261"/>
      <c r="D261"/>
      <c r="E261"/>
      <c r="F261"/>
      <c r="G261"/>
      <c r="H261"/>
      <c r="I261"/>
      <c r="J261"/>
    </row>
    <row r="262" spans="1:10" customHeight="1">
      <c r="A262" t="s">
        <v>3819</v>
      </c>
      <c r="B262"/>
      <c r="C262"/>
      <c r="D262"/>
      <c r="E262"/>
      <c r="F262"/>
      <c r="G262"/>
      <c r="H262"/>
      <c r="I262"/>
      <c r="J262"/>
    </row>
    <row r="263" spans="1:10" ht="51.4" customHeight="1">
      <c r="A263" s="4" t="s">
        <v>3820</v>
      </c>
      <c r="B263" s="4" t="s">
        <v>3821</v>
      </c>
      <c r="C263" s="4"/>
      <c r="D263" s="5" t="s">
        <v>3822</v>
      </c>
      <c r="E263" s="4"/>
      <c r="F263" t="s">
        <v>3823</v>
      </c>
      <c r="G263" s="6" t="s">
        <v>3824</v>
      </c>
      <c r="H263" s="6" t="s">
        <v>3825</v>
      </c>
      <c r="I263" s="4"/>
      <c r="J263" s="6">
        <f>IF(I263&gt;0,PRODUCT(5100,I263),"")</f>
      </c>
    </row>
    <row r="264" spans="1:10" ht="57.4" customHeight="1">
      <c r="A264" s="4" t="s">
        <v>3826</v>
      </c>
      <c r="B264" s="4" t="s">
        <v>3827</v>
      </c>
      <c r="C264" s="4"/>
      <c r="D264" s="5" t="s">
        <v>3828</v>
      </c>
      <c r="E264" s="4"/>
      <c r="F264"/>
      <c r="G264" s="6" t="s">
        <v>3829</v>
      </c>
      <c r="H264" s="6" t="s">
        <v>3830</v>
      </c>
      <c r="I264" s="4"/>
      <c r="J264" s="6">
        <f>IF(I264&gt;0,PRODUCT(4810,I264),"")</f>
      </c>
    </row>
    <row r="265" spans="1:10" ht="91" customHeight="1">
      <c r="A265" s="4" t="s">
        <v>3831</v>
      </c>
      <c r="B265" s="4" t="s">
        <v>3832</v>
      </c>
      <c r="C265" s="4"/>
      <c r="D265" s="5" t="s">
        <v>3833</v>
      </c>
      <c r="E265" s="4"/>
      <c r="F265" t="s">
        <v>3834</v>
      </c>
      <c r="G265" s="6" t="s">
        <v>3835</v>
      </c>
      <c r="H265" s="6" t="s">
        <v>3836</v>
      </c>
      <c r="I265" s="4"/>
      <c r="J265" s="6">
        <f>IF(I265&gt;0,PRODUCT(4700,I265),"")</f>
      </c>
    </row>
    <row r="266" spans="1:10" ht="57.4" customHeight="1">
      <c r="A266" s="4" t="s">
        <v>3837</v>
      </c>
      <c r="B266" s="4" t="s">
        <v>3838</v>
      </c>
      <c r="C266" s="4"/>
      <c r="D266" s="5" t="s">
        <v>3839</v>
      </c>
      <c r="E266" s="4"/>
      <c r="F266" t="s">
        <v>3840</v>
      </c>
      <c r="G266" s="6" t="s">
        <v>3841</v>
      </c>
      <c r="H266" s="6" t="s">
        <v>3842</v>
      </c>
      <c r="I266" s="4"/>
      <c r="J266" s="6">
        <f>IF(I266&gt;0,PRODUCT(4650,I266),"")</f>
      </c>
    </row>
    <row r="267" spans="1:10" s="1" customFormat="1" customHeight="1">
      <c r="A267" s="3" t="s">
        <v>3843</v>
      </c>
      <c r="B267" s="3"/>
      <c r="C267" s="3"/>
      <c r="D267" s="3"/>
      <c r="E267" s="3"/>
      <c r="F267" s="3"/>
      <c r="G267" s="3"/>
      <c r="H267" s="3"/>
      <c r="I267" s="3"/>
      <c r="J267" s="3"/>
    </row>
    <row r="268" spans="1:10" ht="91" customHeight="1">
      <c r="A268" s="4" t="s">
        <v>3844</v>
      </c>
      <c r="B268" s="4" t="s">
        <v>3845</v>
      </c>
      <c r="C268" s="4"/>
      <c r="D268" s="5" t="s">
        <v>3846</v>
      </c>
      <c r="E268" s="4"/>
      <c r="F268"/>
      <c r="G268" s="6" t="s">
        <v>3847</v>
      </c>
      <c r="H268" s="6" t="s">
        <v>3848</v>
      </c>
      <c r="I268" s="4"/>
      <c r="J268" s="6">
        <f>IF(I268&gt;0,PRODUCT(4850,I268),"")</f>
      </c>
    </row>
    <row r="269" spans="1:10" ht="91" customHeight="1">
      <c r="A269" s="4" t="s">
        <v>3849</v>
      </c>
      <c r="B269" s="4" t="s">
        <v>3850</v>
      </c>
      <c r="C269" s="4"/>
      <c r="D269" s="5" t="s">
        <v>3851</v>
      </c>
      <c r="E269" s="4"/>
      <c r="F269"/>
      <c r="G269" s="6" t="s">
        <v>3852</v>
      </c>
      <c r="H269" s="6" t="s">
        <v>3853</v>
      </c>
      <c r="I269" s="4"/>
      <c r="J269" s="6">
        <f>IF(I269&gt;0,PRODUCT(9420,I269),"")</f>
      </c>
    </row>
    <row r="270" spans="1:10" ht="30.5" customHeight="1">
      <c r="A270" s="4" t="s">
        <v>3854</v>
      </c>
      <c r="B270" s="4" t="s">
        <v>3855</v>
      </c>
      <c r="C270" s="4"/>
      <c r="D270" s="5" t="s">
        <v>3856</v>
      </c>
      <c r="E270" s="4"/>
      <c r="F270" t="s">
        <v>3857</v>
      </c>
      <c r="G270" s="6"/>
      <c r="H270" s="6" t="s">
        <v>3858</v>
      </c>
      <c r="I270" s="4"/>
      <c r="J270" s="6">
        <f>IF(I270&gt;0,PRODUCT(14101,I270),"")</f>
      </c>
    </row>
    <row r="271" spans="1:10" ht="30.5" customHeight="1">
      <c r="A271" s="4"/>
      <c r="B271" s="4"/>
      <c r="C271" s="4"/>
      <c r="D271" s="7"/>
      <c r="E271" s="4"/>
      <c r="F271"/>
      <c r="G271" s="6" t="s">
        <v>3859</v>
      </c>
      <c r="H271" s="6" t="s">
        <v>3860</v>
      </c>
      <c r="I271" s="4"/>
      <c r="J271" s="6">
        <f>IF(I271&gt;0,PRODUCT(11000,I271),"")</f>
      </c>
    </row>
    <row r="272" spans="1:10" ht="20" customHeight="1">
      <c r="A272" s="4" t="s">
        <v>3861</v>
      </c>
      <c r="B272" s="4" t="s">
        <v>3862</v>
      </c>
      <c r="C272" s="4"/>
      <c r="D272" s="5" t="s">
        <v>3863</v>
      </c>
      <c r="E272" s="4"/>
      <c r="F272"/>
      <c r="G272" s="6" t="s">
        <v>3864</v>
      </c>
      <c r="H272" s="6" t="s">
        <v>3865</v>
      </c>
      <c r="I272" s="4"/>
      <c r="J272" s="6">
        <f>IF(I272&gt;0,PRODUCT(5850,I272),"")</f>
      </c>
    </row>
    <row r="273" spans="1:10" ht="20" customHeight="1">
      <c r="A273" s="4"/>
      <c r="B273" s="4"/>
      <c r="C273" s="4"/>
      <c r="D273" s="7"/>
      <c r="E273" s="4"/>
      <c r="F273"/>
      <c r="G273" s="6" t="s">
        <v>3866</v>
      </c>
      <c r="H273" s="6" t="s">
        <v>3867</v>
      </c>
      <c r="I273" s="4"/>
      <c r="J273" s="6">
        <f>IF(I273&gt;0,PRODUCT(5850,I273),"")</f>
      </c>
    </row>
    <row r="274" spans="1:10" ht="20" customHeight="1">
      <c r="A274" s="4"/>
      <c r="B274" s="4"/>
      <c r="C274" s="4"/>
      <c r="D274" s="7"/>
      <c r="E274" s="4"/>
      <c r="F274"/>
      <c r="G274" s="6" t="s">
        <v>3868</v>
      </c>
      <c r="H274" s="6" t="s">
        <v>3869</v>
      </c>
      <c r="I274" s="4"/>
      <c r="J274" s="6">
        <f>IF(I274&gt;0,PRODUCT(5850,I274),"")</f>
      </c>
    </row>
    <row r="275" spans="1:10" ht="20.8" customHeight="1">
      <c r="A275" s="4"/>
      <c r="B275" s="4"/>
      <c r="C275" s="4"/>
      <c r="D275" s="7"/>
      <c r="E275" s="4"/>
      <c r="F275"/>
      <c r="G275" s="6" t="s">
        <v>3870</v>
      </c>
      <c r="H275" s="6" t="s">
        <v>3871</v>
      </c>
      <c r="I275" s="4"/>
      <c r="J275" s="6">
        <f>IF(I275&gt;0,PRODUCT(5850,I275),"")</f>
      </c>
    </row>
    <row r="276" spans="1:10" ht="79" customHeight="1">
      <c r="A276" s="4" t="s">
        <v>3872</v>
      </c>
      <c r="B276" s="4" t="s">
        <v>3873</v>
      </c>
      <c r="C276" s="4"/>
      <c r="D276" s="5" t="s">
        <v>3874</v>
      </c>
      <c r="E276" s="4"/>
      <c r="F276"/>
      <c r="G276" s="6" t="s">
        <v>3875</v>
      </c>
      <c r="H276" s="6" t="s">
        <v>3876</v>
      </c>
      <c r="I276" s="4"/>
      <c r="J276" s="6">
        <f>IF(I276&gt;0,PRODUCT(5800,I276),"")</f>
      </c>
    </row>
    <row r="277" spans="1:10" s="1" customFormat="1" customHeight="1">
      <c r="A277" s="3" t="s">
        <v>3877</v>
      </c>
      <c r="B277" s="3"/>
      <c r="C277" s="3"/>
      <c r="D277" s="3"/>
      <c r="E277" s="3"/>
      <c r="F277" s="3"/>
      <c r="G277" s="3"/>
      <c r="H277" s="3"/>
      <c r="I277" s="3"/>
      <c r="J277" s="3"/>
    </row>
    <row r="278" spans="1:10" ht="15" customHeight="1">
      <c r="A278" s="4" t="s">
        <v>3878</v>
      </c>
      <c r="B278" s="4" t="s">
        <v>3879</v>
      </c>
      <c r="C278" s="4"/>
      <c r="D278" s="5" t="s">
        <v>3880</v>
      </c>
      <c r="E278" s="4"/>
      <c r="F278" t="s">
        <v>3881</v>
      </c>
      <c r="G278" s="6" t="s">
        <v>3882</v>
      </c>
      <c r="H278" s="6" t="s">
        <v>3883</v>
      </c>
      <c r="I278" s="4"/>
      <c r="J278" s="6">
        <f>IF(I278&gt;0,PRODUCT(755,I278),"")</f>
      </c>
    </row>
    <row r="279" spans="1:10" ht="15" customHeight="1">
      <c r="A279" s="4"/>
      <c r="B279" s="4"/>
      <c r="C279" s="4"/>
      <c r="D279" s="7"/>
      <c r="E279" s="4"/>
      <c r="F279"/>
      <c r="G279" s="6" t="s">
        <v>3884</v>
      </c>
      <c r="H279" s="6" t="s">
        <v>3885</v>
      </c>
      <c r="I279" s="4"/>
      <c r="J279" s="6">
        <f>IF(I279&gt;0,PRODUCT(6130,I279),"")</f>
      </c>
    </row>
    <row r="280" spans="1:10" ht="15" customHeight="1">
      <c r="A280" s="4"/>
      <c r="B280" s="4"/>
      <c r="C280" s="4"/>
      <c r="D280" s="7"/>
      <c r="E280" s="4"/>
      <c r="F280"/>
      <c r="G280" s="6" t="s">
        <v>3886</v>
      </c>
      <c r="H280" s="6" t="s">
        <v>3887</v>
      </c>
      <c r="I280" s="4"/>
      <c r="J280" s="6">
        <f>IF(I280&gt;0,PRODUCT(2110,I280),"")</f>
      </c>
    </row>
    <row r="281" spans="1:10" ht="15.4" customHeight="1">
      <c r="A281" s="4"/>
      <c r="B281" s="4"/>
      <c r="C281" s="4"/>
      <c r="D281" s="7"/>
      <c r="E281" s="4"/>
      <c r="F281"/>
      <c r="G281" s="6" t="s">
        <v>3888</v>
      </c>
      <c r="H281" s="6" t="s">
        <v>3889</v>
      </c>
      <c r="I281" s="4"/>
      <c r="J281" s="6">
        <f>IF(I281&gt;0,PRODUCT(465,I281),"")</f>
      </c>
    </row>
    <row r="282" spans="1:10" s="10" customFormat="1" customHeight="1">
      <c r="A282" s="11">
        <f>CONCATENATE("Общая сумма: ",SUM(J2:J238)," руб.")</f>
      </c>
      <c r="B282" s="11"/>
      <c r="C282" s="11"/>
      <c r="D282" s="11"/>
      <c r="E282" s="11"/>
      <c r="F282" s="11"/>
      <c r="G282" s="11"/>
      <c r="H282" s="11"/>
      <c r="I282" s="11"/>
      <c r="J282" s="11"/>
    </row>
  </sheetData>
  <sheetProtection formatCells="0" formatColumns="0" formatRows="0" insertColumns="0" insertRows="0" insertHyperlinks="0" deleteColumns="0" deleteRows="0" sort="0" autoFilter="0" pivotTables="0"/>
  <mergeCells count="127">
    <mergeCell ref="A2:J2"/>
    <mergeCell ref="A3:J3"/>
    <mergeCell ref="A4:A6"/>
    <mergeCell ref="B4:B6"/>
    <mergeCell ref="C4:C6"/>
    <mergeCell ref="D4:D6"/>
    <mergeCell ref="E4:E6"/>
    <mergeCell ref="F4:F6"/>
    <mergeCell ref="A9:J9"/>
    <mergeCell ref="A13:J13"/>
    <mergeCell ref="A17:A18"/>
    <mergeCell ref="B17:B18"/>
    <mergeCell ref="C17:C18"/>
    <mergeCell ref="D17:D18"/>
    <mergeCell ref="E17:E18"/>
    <mergeCell ref="F17:F18"/>
    <mergeCell ref="A20:J20"/>
    <mergeCell ref="A21:A22"/>
    <mergeCell ref="B21:B22"/>
    <mergeCell ref="C21:C22"/>
    <mergeCell ref="D21:D22"/>
    <mergeCell ref="E21:E22"/>
    <mergeCell ref="F21:F22"/>
    <mergeCell ref="A33:J33"/>
    <mergeCell ref="A34:J34"/>
    <mergeCell ref="A35:J35"/>
    <mergeCell ref="A36:A38"/>
    <mergeCell ref="B36:B38"/>
    <mergeCell ref="C36:C38"/>
    <mergeCell ref="D36:D38"/>
    <mergeCell ref="E36:E38"/>
    <mergeCell ref="F36:F38"/>
    <mergeCell ref="A39:J39"/>
    <mergeCell ref="A51:A53"/>
    <mergeCell ref="B51:B53"/>
    <mergeCell ref="C51:C53"/>
    <mergeCell ref="D51:D53"/>
    <mergeCell ref="E51:E53"/>
    <mergeCell ref="F51:F53"/>
    <mergeCell ref="A55:A58"/>
    <mergeCell ref="B55:B58"/>
    <mergeCell ref="C55:C58"/>
    <mergeCell ref="D55:D58"/>
    <mergeCell ref="E55:E58"/>
    <mergeCell ref="F55:F58"/>
    <mergeCell ref="A59:J59"/>
    <mergeCell ref="A60:J60"/>
    <mergeCell ref="A64:A66"/>
    <mergeCell ref="B64:B66"/>
    <mergeCell ref="C64:C66"/>
    <mergeCell ref="D64:D66"/>
    <mergeCell ref="E64:E66"/>
    <mergeCell ref="F64:F66"/>
    <mergeCell ref="A76:J76"/>
    <mergeCell ref="A77:A83"/>
    <mergeCell ref="B77:B83"/>
    <mergeCell ref="C77:C83"/>
    <mergeCell ref="D77:D83"/>
    <mergeCell ref="E77:E83"/>
    <mergeCell ref="F77:F83"/>
    <mergeCell ref="A84:A90"/>
    <mergeCell ref="B84:B90"/>
    <mergeCell ref="C84:C90"/>
    <mergeCell ref="D84:D90"/>
    <mergeCell ref="E84:E90"/>
    <mergeCell ref="F84:F90"/>
    <mergeCell ref="A91:A96"/>
    <mergeCell ref="B91:B96"/>
    <mergeCell ref="C91:C96"/>
    <mergeCell ref="D91:D96"/>
    <mergeCell ref="E91:E96"/>
    <mergeCell ref="F91:F96"/>
    <mergeCell ref="A97:A98"/>
    <mergeCell ref="B97:B98"/>
    <mergeCell ref="C97:C98"/>
    <mergeCell ref="D97:D98"/>
    <mergeCell ref="E97:E98"/>
    <mergeCell ref="F97:F98"/>
    <mergeCell ref="A99:A104"/>
    <mergeCell ref="B99:B104"/>
    <mergeCell ref="C99:C104"/>
    <mergeCell ref="D99:D104"/>
    <mergeCell ref="E99:E104"/>
    <mergeCell ref="F99:F104"/>
    <mergeCell ref="A105:J105"/>
    <mergeCell ref="A107:J107"/>
    <mergeCell ref="A108:J108"/>
    <mergeCell ref="A110:J110"/>
    <mergeCell ref="A113:J113"/>
    <mergeCell ref="A119:J119"/>
    <mergeCell ref="A126:J126"/>
    <mergeCell ref="A129:J129"/>
    <mergeCell ref="A134:J134"/>
    <mergeCell ref="A135:J135"/>
    <mergeCell ref="A155:J155"/>
    <mergeCell ref="A160:J160"/>
    <mergeCell ref="A165:J165"/>
    <mergeCell ref="A169:J169"/>
    <mergeCell ref="A178:J178"/>
    <mergeCell ref="A187:J187"/>
    <mergeCell ref="A188:J188"/>
    <mergeCell ref="A189:J189"/>
    <mergeCell ref="A209:J209"/>
    <mergeCell ref="A210:J210"/>
    <mergeCell ref="A261:J261"/>
    <mergeCell ref="A262:J262"/>
    <mergeCell ref="A267:J267"/>
    <mergeCell ref="A270:A271"/>
    <mergeCell ref="B270:B271"/>
    <mergeCell ref="C270:C271"/>
    <mergeCell ref="D270:D271"/>
    <mergeCell ref="E270:E271"/>
    <mergeCell ref="F270:F271"/>
    <mergeCell ref="A272:A275"/>
    <mergeCell ref="B272:B275"/>
    <mergeCell ref="C272:C275"/>
    <mergeCell ref="D272:D275"/>
    <mergeCell ref="E272:E275"/>
    <mergeCell ref="F272:F275"/>
    <mergeCell ref="A277:J277"/>
    <mergeCell ref="A278:A281"/>
    <mergeCell ref="B278:B281"/>
    <mergeCell ref="C278:C281"/>
    <mergeCell ref="D278:D281"/>
    <mergeCell ref="E278:E281"/>
    <mergeCell ref="F278:F281"/>
    <mergeCell ref="A282:J282"/>
  </mergeCells>
  <hyperlinks>
    <hyperlink ref="D4" r:id="rId2"/>
    <hyperlink ref="D7" r:id="rId3"/>
    <hyperlink ref="D8" r:id="rId4"/>
    <hyperlink ref="D10" r:id="rId5"/>
    <hyperlink ref="D11" r:id="rId6"/>
    <hyperlink ref="D12" r:id="rId7"/>
    <hyperlink ref="D14" r:id="rId8"/>
    <hyperlink ref="D15" r:id="rId9"/>
    <hyperlink ref="D16" r:id="rId10"/>
    <hyperlink ref="D17" r:id="rId11"/>
    <hyperlink ref="D19" r:id="rId12"/>
    <hyperlink ref="D21" r:id="rId13"/>
    <hyperlink ref="D23" r:id="rId14"/>
    <hyperlink ref="D24" r:id="rId15"/>
    <hyperlink ref="D25" r:id="rId16"/>
    <hyperlink ref="D26" r:id="rId17"/>
    <hyperlink ref="D27" r:id="rId18"/>
    <hyperlink ref="D28" r:id="rId19"/>
    <hyperlink ref="D29" r:id="rId20"/>
    <hyperlink ref="D30" r:id="rId21"/>
    <hyperlink ref="D31" r:id="rId22"/>
    <hyperlink ref="D32" r:id="rId23"/>
    <hyperlink ref="D36" r:id="rId24"/>
    <hyperlink ref="D40" r:id="rId25"/>
    <hyperlink ref="D41" r:id="rId26"/>
    <hyperlink ref="D42" r:id="rId27"/>
    <hyperlink ref="D43" r:id="rId28"/>
    <hyperlink ref="D44" r:id="rId29"/>
    <hyperlink ref="D45" r:id="rId30"/>
    <hyperlink ref="D46" r:id="rId31"/>
    <hyperlink ref="D47" r:id="rId32"/>
    <hyperlink ref="D48" r:id="rId33"/>
    <hyperlink ref="D49" r:id="rId34"/>
    <hyperlink ref="D50" r:id="rId35"/>
    <hyperlink ref="D51" r:id="rId36"/>
    <hyperlink ref="D54" r:id="rId37"/>
    <hyperlink ref="D55" r:id="rId38"/>
    <hyperlink ref="D61" r:id="rId39"/>
    <hyperlink ref="D62" r:id="rId40"/>
    <hyperlink ref="D63" r:id="rId41"/>
    <hyperlink ref="D64" r:id="rId42"/>
    <hyperlink ref="D67" r:id="rId43"/>
    <hyperlink ref="D68" r:id="rId44"/>
    <hyperlink ref="D69" r:id="rId45"/>
    <hyperlink ref="D70" r:id="rId46"/>
    <hyperlink ref="D71" r:id="rId47"/>
    <hyperlink ref="D72" r:id="rId48"/>
    <hyperlink ref="D73" r:id="rId49"/>
    <hyperlink ref="D74" r:id="rId50"/>
    <hyperlink ref="D75" r:id="rId51"/>
    <hyperlink ref="D77" r:id="rId52"/>
    <hyperlink ref="D84" r:id="rId53"/>
    <hyperlink ref="D91" r:id="rId54"/>
    <hyperlink ref="D97" r:id="rId55"/>
    <hyperlink ref="D99" r:id="rId56"/>
    <hyperlink ref="D106" r:id="rId57"/>
    <hyperlink ref="D109" r:id="rId58"/>
    <hyperlink ref="D111" r:id="rId59"/>
    <hyperlink ref="D112" r:id="rId60"/>
    <hyperlink ref="D114" r:id="rId61"/>
    <hyperlink ref="D115" r:id="rId62"/>
    <hyperlink ref="D116" r:id="rId63"/>
    <hyperlink ref="D117" r:id="rId64"/>
    <hyperlink ref="D118" r:id="rId65"/>
    <hyperlink ref="D120" r:id="rId66"/>
    <hyperlink ref="D121" r:id="rId67"/>
    <hyperlink ref="D122" r:id="rId68"/>
    <hyperlink ref="D123" r:id="rId69"/>
    <hyperlink ref="D124" r:id="rId70"/>
    <hyperlink ref="D125" r:id="rId71"/>
    <hyperlink ref="D127" r:id="rId72"/>
    <hyperlink ref="D128" r:id="rId73"/>
    <hyperlink ref="D130" r:id="rId74"/>
    <hyperlink ref="D131" r:id="rId75"/>
    <hyperlink ref="D132" r:id="rId76"/>
    <hyperlink ref="D133" r:id="rId77"/>
    <hyperlink ref="D136" r:id="rId78"/>
    <hyperlink ref="D137" r:id="rId79"/>
    <hyperlink ref="D138" r:id="rId80"/>
    <hyperlink ref="D139" r:id="rId81"/>
    <hyperlink ref="D140" r:id="rId82"/>
    <hyperlink ref="D141" r:id="rId83"/>
    <hyperlink ref="D142" r:id="rId84"/>
    <hyperlink ref="D143" r:id="rId85"/>
    <hyperlink ref="D144" r:id="rId86"/>
    <hyperlink ref="D145" r:id="rId87"/>
    <hyperlink ref="D146" r:id="rId88"/>
    <hyperlink ref="D147" r:id="rId89"/>
    <hyperlink ref="D148" r:id="rId90"/>
    <hyperlink ref="D149" r:id="rId91"/>
    <hyperlink ref="D150" r:id="rId92"/>
    <hyperlink ref="D151" r:id="rId93"/>
    <hyperlink ref="D152" r:id="rId94"/>
    <hyperlink ref="D153" r:id="rId95"/>
    <hyperlink ref="D154" r:id="rId96"/>
    <hyperlink ref="D156" r:id="rId97"/>
    <hyperlink ref="D157" r:id="rId98"/>
    <hyperlink ref="D158" r:id="rId99"/>
    <hyperlink ref="D159" r:id="rId100"/>
    <hyperlink ref="D161" r:id="rId101"/>
    <hyperlink ref="D162" r:id="rId102"/>
    <hyperlink ref="D163" r:id="rId103"/>
    <hyperlink ref="D164" r:id="rId104"/>
    <hyperlink ref="D166" r:id="rId105"/>
    <hyperlink ref="D167" r:id="rId106"/>
    <hyperlink ref="D168" r:id="rId107"/>
    <hyperlink ref="D170" r:id="rId108"/>
    <hyperlink ref="D171" r:id="rId109"/>
    <hyperlink ref="D172" r:id="rId110"/>
    <hyperlink ref="D173" r:id="rId111"/>
    <hyperlink ref="D174" r:id="rId112"/>
    <hyperlink ref="D175" r:id="rId113"/>
    <hyperlink ref="D176" r:id="rId114"/>
    <hyperlink ref="D177" r:id="rId115"/>
    <hyperlink ref="D179" r:id="rId116"/>
    <hyperlink ref="D180" r:id="rId117"/>
    <hyperlink ref="D181" r:id="rId118"/>
    <hyperlink ref="D182" r:id="rId119"/>
    <hyperlink ref="D183" r:id="rId120"/>
    <hyperlink ref="D184" r:id="rId121"/>
    <hyperlink ref="D185" r:id="rId122"/>
    <hyperlink ref="D186" r:id="rId123"/>
    <hyperlink ref="D190" r:id="rId124"/>
    <hyperlink ref="D191" r:id="rId125"/>
    <hyperlink ref="D192" r:id="rId126"/>
    <hyperlink ref="D193" r:id="rId127"/>
    <hyperlink ref="D194" r:id="rId128"/>
    <hyperlink ref="D195" r:id="rId129"/>
    <hyperlink ref="D196" r:id="rId130"/>
    <hyperlink ref="D197" r:id="rId131"/>
    <hyperlink ref="D198" r:id="rId132"/>
    <hyperlink ref="D199" r:id="rId133"/>
    <hyperlink ref="D200" r:id="rId134"/>
    <hyperlink ref="D201" r:id="rId135"/>
    <hyperlink ref="D202" r:id="rId136"/>
    <hyperlink ref="D203" r:id="rId137"/>
    <hyperlink ref="D204" r:id="rId138"/>
    <hyperlink ref="D205" r:id="rId139"/>
    <hyperlink ref="D206" r:id="rId140"/>
    <hyperlink ref="D207" r:id="rId141"/>
    <hyperlink ref="D208" r:id="rId142"/>
    <hyperlink ref="D211" r:id="rId143"/>
    <hyperlink ref="D212" r:id="rId144"/>
    <hyperlink ref="D213" r:id="rId145"/>
    <hyperlink ref="D214" r:id="rId146"/>
    <hyperlink ref="D215" r:id="rId147"/>
    <hyperlink ref="D216" r:id="rId148"/>
    <hyperlink ref="D217" r:id="rId149"/>
    <hyperlink ref="D218" r:id="rId150"/>
    <hyperlink ref="D219" r:id="rId151"/>
    <hyperlink ref="D220" r:id="rId152"/>
    <hyperlink ref="D221" r:id="rId153"/>
    <hyperlink ref="D222" r:id="rId154"/>
    <hyperlink ref="D223" r:id="rId155"/>
    <hyperlink ref="D224" r:id="rId156"/>
    <hyperlink ref="D225" r:id="rId157"/>
    <hyperlink ref="D226" r:id="rId158"/>
    <hyperlink ref="D227" r:id="rId159"/>
    <hyperlink ref="D228" r:id="rId160"/>
    <hyperlink ref="D229" r:id="rId161"/>
    <hyperlink ref="D230" r:id="rId162"/>
    <hyperlink ref="D231" r:id="rId163"/>
    <hyperlink ref="D232" r:id="rId164"/>
    <hyperlink ref="D233" r:id="rId165"/>
    <hyperlink ref="D234" r:id="rId166"/>
    <hyperlink ref="D235" r:id="rId167"/>
    <hyperlink ref="D236" r:id="rId168"/>
    <hyperlink ref="D237" r:id="rId169"/>
    <hyperlink ref="D238" r:id="rId170"/>
    <hyperlink ref="D239" r:id="rId171"/>
    <hyperlink ref="D240" r:id="rId172"/>
    <hyperlink ref="D241" r:id="rId173"/>
    <hyperlink ref="D242" r:id="rId174"/>
    <hyperlink ref="D243" r:id="rId175"/>
    <hyperlink ref="D244" r:id="rId176"/>
    <hyperlink ref="D245" r:id="rId177"/>
    <hyperlink ref="D246" r:id="rId178"/>
    <hyperlink ref="D247" r:id="rId179"/>
    <hyperlink ref="D248" r:id="rId180"/>
    <hyperlink ref="D249" r:id="rId181"/>
    <hyperlink ref="D250" r:id="rId182"/>
    <hyperlink ref="D251" r:id="rId183"/>
    <hyperlink ref="D252" r:id="rId184"/>
    <hyperlink ref="D253" r:id="rId185"/>
    <hyperlink ref="D254" r:id="rId186"/>
    <hyperlink ref="D255" r:id="rId187"/>
    <hyperlink ref="D256" r:id="rId188"/>
    <hyperlink ref="D257" r:id="rId189"/>
    <hyperlink ref="D258" r:id="rId190"/>
    <hyperlink ref="D259" r:id="rId191"/>
    <hyperlink ref="D260" r:id="rId192"/>
    <hyperlink ref="D263" r:id="rId193"/>
    <hyperlink ref="D264" r:id="rId194"/>
    <hyperlink ref="D265" r:id="rId195"/>
    <hyperlink ref="D266" r:id="rId196"/>
    <hyperlink ref="D268" r:id="rId197"/>
    <hyperlink ref="D269" r:id="rId198"/>
    <hyperlink ref="D270" r:id="rId199"/>
    <hyperlink ref="D272" r:id="rId200"/>
    <hyperlink ref="D276" r:id="rId201"/>
    <hyperlink ref="D278" r:id="rId202"/>
  </hyperlinks>
  <pageMargins left="0.7" right="0.7" top="0.75" bottom="0.75" header="0.3" footer="0.3"/>
  <pageSetup orientation="portrait"/>
  <headerFooter alignWithMargins="0"/>
  <ignoredErrors>
    <ignoredError sqref="A1:J282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7"/>
  <sheetViews>
    <sheetView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27.777777777778" customWidth="1"/>
    <col min="9" max="9" width="8.3333333333333" customWidth="1"/>
    <col min="10" max="10" width="22.222222222222" customWidth="1"/>
  </cols>
  <sheetData>
    <row r="1" spans="1:10" s="1" customFormat="1" customHeight="1">
      <c r="A1" s="3" t="s">
        <v>3890</v>
      </c>
      <c r="B1" s="3" t="s">
        <v>3891</v>
      </c>
      <c r="C1" s="3" t="s">
        <v>3892</v>
      </c>
      <c r="D1" s="3" t="s">
        <v>3893</v>
      </c>
      <c r="E1" s="3" t="s">
        <v>3894</v>
      </c>
      <c r="F1" s="3" t="s">
        <v>3895</v>
      </c>
      <c r="G1" s="3" t="s">
        <v>3896</v>
      </c>
      <c r="H1" s="3" t="s">
        <v>3897</v>
      </c>
      <c r="I1" s="3" t="s">
        <v>3898</v>
      </c>
      <c r="J1" s="3" t="s">
        <v>3899</v>
      </c>
    </row>
    <row r="2" spans="1:10" s="1" customFormat="1" customHeight="1">
      <c r="A2" s="3" t="s">
        <v>3900</v>
      </c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customHeight="1">
      <c r="A3" s="3" t="s">
        <v>3901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3902</v>
      </c>
      <c r="B4" s="3"/>
      <c r="C4" s="3"/>
      <c r="D4" s="3"/>
      <c r="E4" s="3"/>
      <c r="F4" s="3"/>
      <c r="G4" s="3"/>
      <c r="H4" s="3"/>
      <c r="I4" s="3"/>
      <c r="J4" s="3"/>
    </row>
    <row r="5" spans="1:10" s="1" customFormat="1" customHeight="1">
      <c r="A5" s="3" t="s">
        <v>3903</v>
      </c>
      <c r="B5" s="3"/>
      <c r="C5" s="3"/>
      <c r="D5" s="3"/>
      <c r="E5" s="3"/>
      <c r="F5" s="3"/>
      <c r="G5" s="3"/>
      <c r="H5" s="3"/>
      <c r="I5" s="3"/>
      <c r="J5" s="3"/>
    </row>
    <row r="6" spans="1:10" s="1" customFormat="1" customHeight="1">
      <c r="A6" s="3" t="s">
        <v>3904</v>
      </c>
      <c r="B6" s="3"/>
      <c r="C6" s="3"/>
      <c r="D6" s="3"/>
      <c r="E6" s="3"/>
      <c r="F6" s="3"/>
      <c r="G6" s="3"/>
      <c r="H6" s="3"/>
      <c r="I6" s="3"/>
      <c r="J6" s="3"/>
    </row>
    <row r="7" spans="1:10" ht="91" customHeight="1">
      <c r="A7" s="4" t="s">
        <v>3905</v>
      </c>
      <c r="B7" s="4" t="s">
        <v>3906</v>
      </c>
      <c r="C7" s="4"/>
      <c r="D7" s="5" t="s">
        <v>3907</v>
      </c>
      <c r="E7" s="4" t="s">
        <v>3908</v>
      </c>
      <c r="F7" t="s">
        <v>3909</v>
      </c>
      <c r="G7" s="6" t="s">
        <v>3910</v>
      </c>
      <c r="H7" s="12" t="s">
        <v>3911</v>
      </c>
      <c r="I7" s="4"/>
      <c r="J7" s="6">
        <f>IF(I7&gt;0,PRODUCT(500,I7),"")</f>
      </c>
    </row>
    <row r="8" spans="1:10" s="1" customFormat="1" customHeight="1">
      <c r="A8" s="3" t="s">
        <v>3912</v>
      </c>
      <c r="B8" s="3"/>
      <c r="C8" s="3"/>
      <c r="D8" s="3"/>
      <c r="E8" s="3"/>
      <c r="F8" s="3"/>
      <c r="G8" s="3"/>
      <c r="H8" s="3"/>
      <c r="I8" s="3"/>
      <c r="J8" s="3"/>
    </row>
    <row r="9" spans="1:10" customHeight="1">
      <c r="A9" s="4" t="s">
        <v>3913</v>
      </c>
      <c r="B9" s="4" t="s">
        <v>3914</v>
      </c>
      <c r="C9" s="4"/>
      <c r="D9" s="5" t="s">
        <v>3915</v>
      </c>
      <c r="E9" s="4" t="s">
        <v>3916</v>
      </c>
      <c r="F9" t="s">
        <v>3917</v>
      </c>
      <c r="G9" s="6" t="s">
        <v>3918</v>
      </c>
      <c r="H9" s="12"/>
      <c r="I9" s="4"/>
      <c r="J9" s="6"/>
    </row>
    <row r="10" spans="1:10" customHeight="1">
      <c r="A10" s="4"/>
      <c r="B10" s="4"/>
      <c r="C10" s="4"/>
      <c r="D10" s="7"/>
      <c r="E10" s="4"/>
      <c r="F10"/>
      <c r="G10" s="6" t="s">
        <v>3919</v>
      </c>
      <c r="H10" s="12" t="s">
        <v>3920</v>
      </c>
      <c r="I10" s="4"/>
      <c r="J10" s="6">
        <f>IF(I10&gt;0,PRODUCT(580,I10),"")</f>
      </c>
    </row>
    <row r="11" spans="1:10" s="1" customFormat="1" customHeight="1">
      <c r="A11" s="3" t="s">
        <v>3921</v>
      </c>
      <c r="B11" s="3"/>
      <c r="C11" s="3"/>
      <c r="D11" s="3"/>
      <c r="E11" s="3"/>
      <c r="F11" s="3"/>
      <c r="G11" s="3"/>
      <c r="H11" s="3"/>
      <c r="I11" s="3"/>
      <c r="J11" s="3"/>
    </row>
    <row r="12" spans="1:10" ht="45.5" customHeight="1">
      <c r="A12" s="4" t="s">
        <v>3922</v>
      </c>
      <c r="B12" s="4" t="s">
        <v>3923</v>
      </c>
      <c r="C12" s="4"/>
      <c r="D12" s="5" t="s">
        <v>3924</v>
      </c>
      <c r="E12" s="4" t="s">
        <v>3925</v>
      </c>
      <c r="F12" t="s">
        <v>3926</v>
      </c>
      <c r="G12" s="6" t="s">
        <v>3927</v>
      </c>
      <c r="H12" s="12" t="s">
        <v>3928</v>
      </c>
      <c r="I12" s="4"/>
      <c r="J12" s="6">
        <f>IF(I12&gt;0,PRODUCT(1900,I12),"")</f>
      </c>
    </row>
    <row r="13" spans="1:10" ht="45.5" customHeight="1">
      <c r="A13" s="4"/>
      <c r="B13" s="4"/>
      <c r="C13" s="4"/>
      <c r="D13" s="7"/>
      <c r="E13" s="4"/>
      <c r="F13"/>
      <c r="G13" s="6" t="s">
        <v>3929</v>
      </c>
      <c r="H13" s="12" t="s">
        <v>3930</v>
      </c>
      <c r="I13" s="4"/>
      <c r="J13" s="6">
        <f>IF(I13&gt;0,PRODUCT(1900,I13),"")</f>
      </c>
    </row>
    <row r="14" spans="1:10" s="1" customFormat="1" customHeight="1">
      <c r="A14" s="3" t="s">
        <v>3931</v>
      </c>
      <c r="B14" s="3"/>
      <c r="C14" s="3"/>
      <c r="D14" s="3"/>
      <c r="E14" s="3"/>
      <c r="F14" s="3"/>
      <c r="G14" s="3"/>
      <c r="H14" s="3"/>
      <c r="I14" s="3"/>
      <c r="J14" s="3"/>
    </row>
    <row r="15" spans="1:10" ht="49" customHeight="1">
      <c r="A15" s="4" t="s">
        <v>3932</v>
      </c>
      <c r="B15" s="4"/>
      <c r="C15" s="4"/>
      <c r="D15" s="5" t="s">
        <v>3933</v>
      </c>
      <c r="E15" s="4"/>
      <c r="F15" t="s">
        <v>3934</v>
      </c>
      <c r="G15" s="6" t="s">
        <v>3935</v>
      </c>
      <c r="H15" s="12" t="s">
        <v>3936</v>
      </c>
      <c r="I15" s="4"/>
      <c r="J15" s="6">
        <f>IF(I15&gt;0,PRODUCT(1800,I15),"")</f>
      </c>
    </row>
    <row r="16" spans="1:10" s="1" customFormat="1" customHeight="1">
      <c r="A16" s="3" t="s">
        <v>3937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ht="45.5" customHeight="1">
      <c r="A17" s="4" t="s">
        <v>3938</v>
      </c>
      <c r="B17" s="4" t="s">
        <v>3939</v>
      </c>
      <c r="C17" s="4"/>
      <c r="D17" s="5" t="s">
        <v>3940</v>
      </c>
      <c r="E17" s="4"/>
      <c r="F17" t="s">
        <v>3941</v>
      </c>
      <c r="G17" s="6" t="s">
        <v>3942</v>
      </c>
      <c r="H17" s="12" t="s">
        <v>3943</v>
      </c>
      <c r="I17" s="4"/>
      <c r="J17" s="6">
        <f>IF(I17&gt;0,PRODUCT(190,I17),"")</f>
      </c>
    </row>
    <row r="18" spans="1:10" ht="45.5" customHeight="1">
      <c r="A18" s="4"/>
      <c r="B18" s="4"/>
      <c r="C18" s="4"/>
      <c r="D18" s="7"/>
      <c r="E18" s="4"/>
      <c r="F18"/>
      <c r="G18" s="6" t="s">
        <v>3944</v>
      </c>
      <c r="H18" s="12" t="s">
        <v>3945</v>
      </c>
      <c r="I18" s="4"/>
      <c r="J18" s="6">
        <f>IF(I18&gt;0,PRODUCT(750,I18),"")</f>
      </c>
    </row>
    <row r="19" spans="1:10" ht="45.5" customHeight="1">
      <c r="A19" s="4" t="s">
        <v>3946</v>
      </c>
      <c r="B19" s="4" t="s">
        <v>3947</v>
      </c>
      <c r="C19" s="4"/>
      <c r="D19" s="5" t="s">
        <v>3948</v>
      </c>
      <c r="E19" s="4"/>
      <c r="F19" t="s">
        <v>3949</v>
      </c>
      <c r="G19" s="6" t="s">
        <v>3950</v>
      </c>
      <c r="H19" s="12" t="s">
        <v>3951</v>
      </c>
      <c r="I19" s="4"/>
      <c r="J19" s="6">
        <f>IF(I19&gt;0,PRODUCT(140,I19),"")</f>
      </c>
    </row>
    <row r="20" spans="1:10" ht="45.5" customHeight="1">
      <c r="A20" s="4"/>
      <c r="B20" s="4"/>
      <c r="C20" s="4"/>
      <c r="D20" s="7"/>
      <c r="E20" s="4"/>
      <c r="F20"/>
      <c r="G20" s="6" t="s">
        <v>3952</v>
      </c>
      <c r="H20" s="12" t="s">
        <v>3953</v>
      </c>
      <c r="I20" s="4"/>
      <c r="J20" s="6">
        <f>IF(I20&gt;0,PRODUCT(500,I20),"")</f>
      </c>
    </row>
    <row r="21" spans="1:10" s="1" customFormat="1" customHeight="1">
      <c r="A21" s="3" t="s">
        <v>3954</v>
      </c>
      <c r="B21" s="3"/>
      <c r="C21" s="3"/>
      <c r="D21" s="3"/>
      <c r="E21" s="3"/>
      <c r="F21" s="3"/>
      <c r="G21" s="3"/>
      <c r="H21" s="3"/>
      <c r="I21" s="3"/>
      <c r="J21" s="3"/>
    </row>
    <row r="22" spans="1:10" s="1" customFormat="1" customHeight="1">
      <c r="A22" s="3" t="s">
        <v>3955</v>
      </c>
      <c r="B22" s="3"/>
      <c r="C22" s="3"/>
      <c r="D22" s="3"/>
      <c r="E22" s="3"/>
      <c r="F22" s="3"/>
      <c r="G22" s="3"/>
      <c r="H22" s="3"/>
      <c r="I22" s="3"/>
      <c r="J22" s="3"/>
    </row>
    <row r="23" spans="1:10" s="1" customFormat="1" customHeight="1">
      <c r="A23" s="3" t="s">
        <v>3956</v>
      </c>
      <c r="B23" s="3"/>
      <c r="C23" s="3"/>
      <c r="D23" s="3"/>
      <c r="E23" s="3"/>
      <c r="F23" s="3"/>
      <c r="G23" s="3"/>
      <c r="H23" s="3"/>
      <c r="I23" s="3"/>
      <c r="J23" s="3"/>
    </row>
    <row r="24" spans="1:10" ht="26.5" customHeight="1">
      <c r="A24" s="4" t="s">
        <v>3957</v>
      </c>
      <c r="B24" s="4" t="s">
        <v>3958</v>
      </c>
      <c r="C24" s="4"/>
      <c r="D24" s="5" t="s">
        <v>3959</v>
      </c>
      <c r="E24" s="4"/>
      <c r="F24"/>
      <c r="G24" s="6" t="s">
        <v>3960</v>
      </c>
      <c r="H24" s="12" t="s">
        <v>3961</v>
      </c>
      <c r="I24" s="4"/>
      <c r="J24" s="6">
        <f>IF(I24&gt;0,PRODUCT(9000,I24),"")</f>
      </c>
    </row>
    <row r="25" spans="1:10" ht="26.5" customHeight="1">
      <c r="A25" s="4"/>
      <c r="B25" s="4"/>
      <c r="C25" s="4"/>
      <c r="D25" s="7"/>
      <c r="E25" s="4"/>
      <c r="F25"/>
      <c r="G25" s="6" t="s">
        <v>3962</v>
      </c>
      <c r="H25" s="12" t="s">
        <v>3963</v>
      </c>
      <c r="I25" s="4"/>
      <c r="J25" s="6">
        <f>IF(I25&gt;0,PRODUCT(1100,I25),"")</f>
      </c>
    </row>
    <row r="26" spans="1:10" ht="23" customHeight="1">
      <c r="A26" s="4" t="s">
        <v>3964</v>
      </c>
      <c r="B26" s="4" t="s">
        <v>3965</v>
      </c>
      <c r="C26" s="4"/>
      <c r="D26" s="5" t="s">
        <v>3966</v>
      </c>
      <c r="E26" s="4"/>
      <c r="F26"/>
      <c r="G26" s="6" t="s">
        <v>3967</v>
      </c>
      <c r="H26" s="12" t="s">
        <v>3968</v>
      </c>
      <c r="I26" s="4"/>
      <c r="J26" s="6">
        <f>IF(I26&gt;0,PRODUCT(2400,I26),"")</f>
      </c>
    </row>
    <row r="27" spans="1:10" ht="23" customHeight="1">
      <c r="A27" s="4"/>
      <c r="B27" s="4"/>
      <c r="C27" s="4"/>
      <c r="D27" s="7"/>
      <c r="E27" s="4"/>
      <c r="F27"/>
      <c r="G27" s="6" t="s">
        <v>3969</v>
      </c>
      <c r="H27" s="12" t="s">
        <v>3970</v>
      </c>
      <c r="I27" s="4"/>
      <c r="J27" s="6">
        <f>IF(I27&gt;0,PRODUCT(2400,I27),"")</f>
      </c>
    </row>
    <row r="28" spans="1:10" ht="23" customHeight="1">
      <c r="A28" s="4"/>
      <c r="B28" s="4"/>
      <c r="C28" s="4"/>
      <c r="D28" s="7"/>
      <c r="E28" s="4"/>
      <c r="F28"/>
      <c r="G28" s="6" t="s">
        <v>3971</v>
      </c>
      <c r="H28" s="12" t="s">
        <v>3972</v>
      </c>
      <c r="I28" s="4"/>
      <c r="J28" s="6">
        <f>IF(I28&gt;0,PRODUCT(2400,I28),"")</f>
      </c>
    </row>
    <row r="29" spans="1:10" ht="23" customHeight="1">
      <c r="A29" s="4"/>
      <c r="B29" s="4"/>
      <c r="C29" s="4"/>
      <c r="D29" s="7"/>
      <c r="E29" s="4"/>
      <c r="F29"/>
      <c r="G29" s="6" t="s">
        <v>3973</v>
      </c>
      <c r="H29" s="12" t="s">
        <v>3974</v>
      </c>
      <c r="I29" s="4"/>
      <c r="J29" s="6">
        <f>IF(I29&gt;0,PRODUCT(2400,I29),"")</f>
      </c>
    </row>
    <row r="30" spans="1:10" ht="18" customHeight="1">
      <c r="A30" s="4" t="s">
        <v>3975</v>
      </c>
      <c r="B30" s="4" t="s">
        <v>3976</v>
      </c>
      <c r="C30" s="4"/>
      <c r="D30" s="5" t="s">
        <v>3977</v>
      </c>
      <c r="E30" s="4"/>
      <c r="F30"/>
      <c r="G30" s="6" t="s">
        <v>3978</v>
      </c>
      <c r="H30" s="12" t="s">
        <v>3979</v>
      </c>
      <c r="I30" s="4"/>
      <c r="J30" s="6">
        <f>IF(I30&gt;0,PRODUCT(300,I30),"")</f>
      </c>
    </row>
    <row r="31" spans="1:10" ht="18" customHeight="1">
      <c r="A31" s="4"/>
      <c r="B31" s="4"/>
      <c r="C31" s="4"/>
      <c r="D31" s="7"/>
      <c r="E31" s="4"/>
      <c r="F31"/>
      <c r="G31" s="6" t="s">
        <v>3980</v>
      </c>
      <c r="H31" s="12" t="s">
        <v>3981</v>
      </c>
      <c r="I31" s="4"/>
      <c r="J31" s="6">
        <f>IF(I31&gt;0,PRODUCT(300,I31),"")</f>
      </c>
    </row>
    <row r="32" spans="1:10" ht="18" customHeight="1">
      <c r="A32" s="4"/>
      <c r="B32" s="4"/>
      <c r="C32" s="4"/>
      <c r="D32" s="7"/>
      <c r="E32" s="4"/>
      <c r="F32"/>
      <c r="G32" s="6" t="s">
        <v>3982</v>
      </c>
      <c r="H32" s="12" t="s">
        <v>3983</v>
      </c>
      <c r="I32" s="4"/>
      <c r="J32" s="6">
        <f>IF(I32&gt;0,PRODUCT(300,I32),"")</f>
      </c>
    </row>
    <row r="33" spans="1:10" ht="18" customHeight="1">
      <c r="A33" s="4"/>
      <c r="B33" s="4"/>
      <c r="C33" s="4"/>
      <c r="D33" s="7"/>
      <c r="E33" s="4"/>
      <c r="F33"/>
      <c r="G33" s="6" t="s">
        <v>3984</v>
      </c>
      <c r="H33" s="12" t="s">
        <v>3985</v>
      </c>
      <c r="I33" s="4"/>
      <c r="J33" s="6">
        <f>IF(I33&gt;0,PRODUCT(300,I33),"")</f>
      </c>
    </row>
    <row r="34" spans="1:10" ht="19" customHeight="1">
      <c r="A34" s="4"/>
      <c r="B34" s="4"/>
      <c r="C34" s="4"/>
      <c r="D34" s="7"/>
      <c r="E34" s="4"/>
      <c r="F34"/>
      <c r="G34" s="6" t="s">
        <v>3986</v>
      </c>
      <c r="H34" s="12" t="s">
        <v>3987</v>
      </c>
      <c r="I34" s="4"/>
      <c r="J34" s="6">
        <f>IF(I34&gt;0,PRODUCT(300,I34),"")</f>
      </c>
    </row>
    <row r="35" spans="1:10" customHeight="1">
      <c r="A35" s="4" t="s">
        <v>3988</v>
      </c>
      <c r="B35" s="4" t="s">
        <v>3989</v>
      </c>
      <c r="C35" s="4"/>
      <c r="D35" s="5" t="s">
        <v>3990</v>
      </c>
      <c r="E35" s="4"/>
      <c r="F35"/>
      <c r="G35" s="6" t="s">
        <v>3991</v>
      </c>
      <c r="H35" s="12" t="s">
        <v>3992</v>
      </c>
      <c r="I35" s="4"/>
      <c r="J35" s="6">
        <f>IF(I35&gt;0,PRODUCT(2400,I35),"")</f>
      </c>
    </row>
    <row r="36" spans="1:10" customHeight="1">
      <c r="A36" s="4"/>
      <c r="B36" s="4"/>
      <c r="C36" s="4"/>
      <c r="D36" s="7"/>
      <c r="E36" s="4"/>
      <c r="F36"/>
      <c r="G36" s="6" t="s">
        <v>3993</v>
      </c>
      <c r="H36" s="12" t="s">
        <v>3994</v>
      </c>
      <c r="I36" s="4"/>
      <c r="J36" s="6">
        <f>IF(I36&gt;0,PRODUCT(1100,I36),"")</f>
      </c>
    </row>
    <row r="37" spans="1:10" customHeight="1">
      <c r="A37" s="4"/>
      <c r="B37" s="4"/>
      <c r="C37" s="4"/>
      <c r="D37" s="7"/>
      <c r="E37" s="4"/>
      <c r="F37"/>
      <c r="G37" s="6" t="s">
        <v>3995</v>
      </c>
      <c r="H37" s="12" t="s">
        <v>3996</v>
      </c>
      <c r="I37" s="4"/>
      <c r="J37" s="6">
        <f>IF(I37&gt;0,PRODUCT(2400,I37),"")</f>
      </c>
    </row>
    <row r="38" spans="1:10" customHeight="1">
      <c r="A38" s="4"/>
      <c r="B38" s="4"/>
      <c r="C38" s="4"/>
      <c r="D38" s="7"/>
      <c r="E38" s="4"/>
      <c r="F38"/>
      <c r="G38" s="6" t="s">
        <v>3997</v>
      </c>
      <c r="H38" s="12" t="s">
        <v>3998</v>
      </c>
      <c r="I38" s="4"/>
      <c r="J38" s="6">
        <f>IF(I38&gt;0,PRODUCT(300,I38),"")</f>
      </c>
    </row>
    <row r="39" spans="1:10" customHeight="1">
      <c r="A39" s="4"/>
      <c r="B39" s="4"/>
      <c r="C39" s="4"/>
      <c r="D39" s="7"/>
      <c r="E39" s="4"/>
      <c r="F39"/>
      <c r="G39" s="6" t="s">
        <v>3999</v>
      </c>
      <c r="H39" s="12" t="s">
        <v>4000</v>
      </c>
      <c r="I39" s="4"/>
      <c r="J39" s="6">
        <f>IF(I39&gt;0,PRODUCT(300,I39),"")</f>
      </c>
    </row>
    <row r="40" spans="1:10" customHeight="1">
      <c r="A40" s="4"/>
      <c r="B40" s="4"/>
      <c r="C40" s="4"/>
      <c r="D40" s="7"/>
      <c r="E40" s="4"/>
      <c r="F40"/>
      <c r="G40" s="6" t="s">
        <v>4001</v>
      </c>
      <c r="H40" s="12" t="s">
        <v>4002</v>
      </c>
      <c r="I40" s="4"/>
      <c r="J40" s="6">
        <f>IF(I40&gt;0,PRODUCT(300,I40),"")</f>
      </c>
    </row>
    <row r="41" spans="1:10" customHeight="1">
      <c r="A41" s="4"/>
      <c r="B41" s="4"/>
      <c r="C41" s="4"/>
      <c r="D41" s="7"/>
      <c r="E41" s="4"/>
      <c r="F41"/>
      <c r="G41" s="6" t="s">
        <v>4003</v>
      </c>
      <c r="H41" s="12" t="s">
        <v>4004</v>
      </c>
      <c r="I41" s="4"/>
      <c r="J41" s="6">
        <f>IF(I41&gt;0,PRODUCT(2400,I41),"")</f>
      </c>
    </row>
    <row r="42" spans="1:10" customHeight="1">
      <c r="A42" s="4"/>
      <c r="B42" s="4"/>
      <c r="C42" s="4"/>
      <c r="D42" s="7"/>
      <c r="E42" s="4"/>
      <c r="F42"/>
      <c r="G42" s="6" t="s">
        <v>4005</v>
      </c>
      <c r="H42" s="12" t="s">
        <v>4006</v>
      </c>
      <c r="I42" s="4"/>
      <c r="J42" s="6">
        <f>IF(I42&gt;0,PRODUCT(2400,I42),"")</f>
      </c>
    </row>
    <row r="43" spans="1:10" customHeight="1">
      <c r="A43" s="4"/>
      <c r="B43" s="4"/>
      <c r="C43" s="4"/>
      <c r="D43" s="7"/>
      <c r="E43" s="4"/>
      <c r="F43"/>
      <c r="G43" s="6" t="s">
        <v>4007</v>
      </c>
      <c r="H43" s="12" t="s">
        <v>4008</v>
      </c>
      <c r="I43" s="4"/>
      <c r="J43" s="6">
        <f>IF(I43&gt;0,PRODUCT(300,I43),"")</f>
      </c>
    </row>
    <row r="44" spans="1:10" s="1" customFormat="1" customHeight="1">
      <c r="A44" s="3" t="s">
        <v>4009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ht="58" customHeight="1">
      <c r="A45" s="4" t="s">
        <v>4010</v>
      </c>
      <c r="B45" s="4"/>
      <c r="C45" s="4"/>
      <c r="D45" s="5" t="s">
        <v>4011</v>
      </c>
      <c r="E45" s="4"/>
      <c r="F45"/>
      <c r="G45" s="6" t="s">
        <v>4012</v>
      </c>
      <c r="H45" s="12" t="s">
        <v>4013</v>
      </c>
      <c r="I45" s="4"/>
      <c r="J45" s="6">
        <f>IF(I45&gt;0,PRODUCT(200,I45),"")</f>
      </c>
    </row>
    <row r="46" spans="1:10" ht="56.8" customHeight="1">
      <c r="A46" s="4" t="s">
        <v>4014</v>
      </c>
      <c r="B46" s="4"/>
      <c r="C46" s="4"/>
      <c r="D46" s="5" t="s">
        <v>4015</v>
      </c>
      <c r="E46" s="4"/>
      <c r="F46"/>
      <c r="G46" s="6" t="s">
        <v>4016</v>
      </c>
      <c r="H46" s="12" t="s">
        <v>4017</v>
      </c>
      <c r="I46" s="4"/>
      <c r="J46" s="6">
        <f>IF(I46&gt;0,PRODUCT(400,I46),"")</f>
      </c>
    </row>
    <row r="47" spans="1:10" s="10" customFormat="1" customHeight="1">
      <c r="A47" s="11">
        <f>CONCATENATE("Общая сумма: ",SUM(J2:J26)," руб.")</f>
      </c>
      <c r="B47" s="11"/>
      <c r="C47" s="11"/>
      <c r="D47" s="11"/>
      <c r="E47" s="11"/>
      <c r="F47" s="11"/>
      <c r="G47" s="11"/>
      <c r="H47" s="11"/>
      <c r="I47" s="11"/>
      <c r="J47" s="11"/>
    </row>
  </sheetData>
  <sheetProtection formatCells="0" formatColumns="0" formatRows="0" insertColumns="0" insertRows="0" insertHyperlinks="0" deleteColumns="0" deleteRows="0" sort="0" autoFilter="0" pivotTables="0"/>
  <mergeCells count="62">
    <mergeCell ref="A2:J2"/>
    <mergeCell ref="A3:J3"/>
    <mergeCell ref="A4:J4"/>
    <mergeCell ref="A5:J5"/>
    <mergeCell ref="A6:J6"/>
    <mergeCell ref="A8:J8"/>
    <mergeCell ref="A9:A10"/>
    <mergeCell ref="B9:B10"/>
    <mergeCell ref="C9:C10"/>
    <mergeCell ref="D9:D10"/>
    <mergeCell ref="E9:E10"/>
    <mergeCell ref="F9:F10"/>
    <mergeCell ref="A11:J11"/>
    <mergeCell ref="A12:A13"/>
    <mergeCell ref="B12:B13"/>
    <mergeCell ref="C12:C13"/>
    <mergeCell ref="D12:D13"/>
    <mergeCell ref="E12:E13"/>
    <mergeCell ref="F12:F13"/>
    <mergeCell ref="A14:J14"/>
    <mergeCell ref="A16:J16"/>
    <mergeCell ref="A17:A18"/>
    <mergeCell ref="B17:B18"/>
    <mergeCell ref="C17:C18"/>
    <mergeCell ref="D17:D18"/>
    <mergeCell ref="E17:E18"/>
    <mergeCell ref="F17:F18"/>
    <mergeCell ref="A19:A20"/>
    <mergeCell ref="B19:B20"/>
    <mergeCell ref="C19:C20"/>
    <mergeCell ref="D19:D20"/>
    <mergeCell ref="E19:E20"/>
    <mergeCell ref="F19:F20"/>
    <mergeCell ref="A21:J21"/>
    <mergeCell ref="A22:J22"/>
    <mergeCell ref="A23:J23"/>
    <mergeCell ref="A24:A25"/>
    <mergeCell ref="B24:B25"/>
    <mergeCell ref="C24:C25"/>
    <mergeCell ref="D24:D25"/>
    <mergeCell ref="E24:E25"/>
    <mergeCell ref="F24:F25"/>
    <mergeCell ref="A26:A29"/>
    <mergeCell ref="B26:B29"/>
    <mergeCell ref="C26:C29"/>
    <mergeCell ref="D26:D29"/>
    <mergeCell ref="E26:E29"/>
    <mergeCell ref="F26:F29"/>
    <mergeCell ref="A30:A34"/>
    <mergeCell ref="B30:B34"/>
    <mergeCell ref="C30:C34"/>
    <mergeCell ref="D30:D34"/>
    <mergeCell ref="E30:E34"/>
    <mergeCell ref="F30:F34"/>
    <mergeCell ref="A35:A43"/>
    <mergeCell ref="B35:B43"/>
    <mergeCell ref="C35:C43"/>
    <mergeCell ref="D35:D43"/>
    <mergeCell ref="E35:E43"/>
    <mergeCell ref="F35:F43"/>
    <mergeCell ref="A44:J44"/>
    <mergeCell ref="A47:J47"/>
  </mergeCells>
  <hyperlinks>
    <hyperlink ref="D7" r:id="rId2"/>
    <hyperlink ref="D9" r:id="rId3"/>
    <hyperlink ref="D12" r:id="rId4"/>
    <hyperlink ref="D15" r:id="rId5"/>
    <hyperlink ref="D17" r:id="rId6"/>
    <hyperlink ref="D19" r:id="rId7"/>
    <hyperlink ref="D24" r:id="rId8"/>
    <hyperlink ref="D26" r:id="rId9"/>
    <hyperlink ref="D30" r:id="rId10"/>
    <hyperlink ref="D35" r:id="rId11"/>
    <hyperlink ref="D45" r:id="rId12"/>
    <hyperlink ref="D46" r:id="rId13"/>
  </hyperlinks>
  <pageMargins left="0.7" right="0.7" top="0.75" bottom="0.75" header="0.3" footer="0.3"/>
  <pageSetup orientation="portrait"/>
  <headerFooter alignWithMargins="0"/>
  <ignoredErrors>
    <ignoredError sqref="A1:J4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8</vt:i4>
      </vt:variant>
    </vt:vector>
  </HeadingPairs>
  <TitlesOfParts>
    <vt:vector size="8" baseType="lpstr">
      <vt:lpstr>Инвентарь</vt:lpstr>
      <vt:lpstr>Ингредиенты</vt:lpstr>
      <vt:lpstr>Красители</vt:lpstr>
      <vt:lpstr>Молочное направление</vt:lpstr>
      <vt:lpstr>Кондитерское направление</vt:lpstr>
      <vt:lpstr>Шоколадное направление</vt:lpstr>
      <vt:lpstr>Хлебопекарное направление</vt:lpstr>
      <vt:lpstr>Пищевая печать</vt:lpstr>
    </vt:vector>
  </TitlesOfParts>
  <Company>ООО "ИТ"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title>Магазин Фрезье</dc:title>
  <dc:subject>Прайс лист</dc:subject>
  <cp:lastModifiedBy/>
  <dcterms:created xsi:type="dcterms:W3CDTF">2023-10-09T09:01:15Z</dcterms:created>
  <dcterms:modified xsi:type="dcterms:W3CDTF">2023-10-09T09:01:15Z</dcterms:modified>
</cp:coreProperties>
</file>